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calculo coef apil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J45" i="1" l="1"/>
  <c r="J36" i="1"/>
  <c r="E50" i="1" s="1"/>
  <c r="J37" i="1"/>
  <c r="F50" i="1" s="1"/>
  <c r="H50" i="1" s="1"/>
  <c r="H43" i="1" l="1"/>
  <c r="G43" i="1"/>
  <c r="F43" i="1"/>
  <c r="E43" i="1"/>
  <c r="C43" i="1"/>
  <c r="H40" i="1"/>
  <c r="G40" i="1"/>
  <c r="D40" i="1"/>
  <c r="I40" i="1" s="1"/>
  <c r="H34" i="1"/>
  <c r="G34" i="1"/>
  <c r="F34" i="1"/>
  <c r="E34" i="1"/>
  <c r="D34" i="1"/>
  <c r="C34" i="1"/>
  <c r="I33" i="1"/>
  <c r="I32" i="1"/>
  <c r="H31" i="1"/>
  <c r="G31" i="1"/>
  <c r="F31" i="1"/>
  <c r="E31" i="1"/>
  <c r="I31" i="1" s="1"/>
  <c r="J40" i="1" l="1"/>
  <c r="J31" i="1"/>
  <c r="J34" i="1"/>
  <c r="J43" i="1"/>
  <c r="B50" i="1"/>
  <c r="I34" i="1"/>
  <c r="I43" i="1"/>
  <c r="V17" i="1"/>
  <c r="V16" i="1"/>
  <c r="T15" i="1"/>
  <c r="V15" i="1" s="1"/>
  <c r="V14" i="1"/>
  <c r="V13" i="1"/>
  <c r="V10" i="1"/>
  <c r="V9" i="1"/>
  <c r="V8" i="1"/>
  <c r="V7" i="1"/>
  <c r="V6" i="1"/>
  <c r="V2" i="1"/>
  <c r="T12" i="1"/>
  <c r="V12" i="1" s="1"/>
  <c r="T11" i="1"/>
  <c r="V11" i="1" s="1"/>
  <c r="T5" i="1"/>
  <c r="V5" i="1" s="1"/>
  <c r="V3" i="1"/>
  <c r="V4" i="1"/>
  <c r="S2" i="1"/>
  <c r="S3" i="1"/>
  <c r="S4" i="1"/>
  <c r="S5" i="1"/>
  <c r="S6" i="1"/>
  <c r="S10" i="1"/>
  <c r="S11" i="1"/>
  <c r="S12" i="1"/>
  <c r="S14" i="1"/>
  <c r="S15" i="1"/>
  <c r="S16" i="1"/>
  <c r="S17" i="1"/>
  <c r="Q13" i="1"/>
  <c r="S13" i="1" s="1"/>
  <c r="Q9" i="1"/>
  <c r="S9" i="1" s="1"/>
  <c r="Q8" i="1"/>
  <c r="S8" i="1" s="1"/>
  <c r="Q7" i="1"/>
  <c r="S7" i="1" s="1"/>
  <c r="P2" i="1"/>
  <c r="P3" i="1"/>
  <c r="P4" i="1"/>
  <c r="P7" i="1"/>
  <c r="P11" i="1"/>
  <c r="P12" i="1"/>
  <c r="P13" i="1"/>
  <c r="P15" i="1"/>
  <c r="P16" i="1"/>
  <c r="P17" i="1"/>
  <c r="N14" i="1"/>
  <c r="P14" i="1" s="1"/>
  <c r="N10" i="1"/>
  <c r="P10" i="1" s="1"/>
  <c r="N9" i="1"/>
  <c r="P9" i="1" s="1"/>
  <c r="N8" i="1"/>
  <c r="P8" i="1" s="1"/>
  <c r="N6" i="1"/>
  <c r="P6" i="1" s="1"/>
  <c r="N5" i="1"/>
  <c r="P5" i="1" s="1"/>
  <c r="M2" i="1"/>
  <c r="M4" i="1"/>
  <c r="M5" i="1"/>
  <c r="M6" i="1"/>
  <c r="M7" i="1"/>
  <c r="M9" i="1"/>
  <c r="M14" i="1"/>
  <c r="M15" i="1"/>
  <c r="M16" i="1"/>
  <c r="M17" i="1"/>
  <c r="J3" i="1"/>
  <c r="J4" i="1"/>
  <c r="J5" i="1"/>
  <c r="J8" i="1"/>
  <c r="J9" i="1"/>
  <c r="J10" i="1"/>
  <c r="J11" i="1"/>
  <c r="J12" i="1"/>
  <c r="J13" i="1"/>
  <c r="J14" i="1"/>
  <c r="J15" i="1"/>
  <c r="J16" i="1"/>
  <c r="J17" i="1"/>
  <c r="G2" i="1"/>
  <c r="G3" i="1"/>
  <c r="G4" i="1"/>
  <c r="G5" i="1"/>
  <c r="G6" i="1"/>
  <c r="G7" i="1"/>
  <c r="G9" i="1"/>
  <c r="G10" i="1"/>
  <c r="G11" i="1"/>
  <c r="G12" i="1"/>
  <c r="G14" i="1"/>
  <c r="H7" i="1"/>
  <c r="J7" i="1" s="1"/>
  <c r="H6" i="1"/>
  <c r="J6" i="1" s="1"/>
  <c r="H2" i="1"/>
  <c r="J2" i="1" s="1"/>
  <c r="D2" i="1"/>
  <c r="K13" i="1"/>
  <c r="M13" i="1" s="1"/>
  <c r="K12" i="1"/>
  <c r="M12" i="1" s="1"/>
  <c r="K11" i="1"/>
  <c r="M11" i="1" s="1"/>
  <c r="K10" i="1"/>
  <c r="M10" i="1" s="1"/>
  <c r="K8" i="1"/>
  <c r="M8" i="1" s="1"/>
  <c r="K3" i="1"/>
  <c r="M3" i="1" s="1"/>
  <c r="E17" i="1"/>
  <c r="G17" i="1" s="1"/>
  <c r="E16" i="1"/>
  <c r="G16" i="1" s="1"/>
  <c r="E15" i="1"/>
  <c r="G15" i="1" s="1"/>
  <c r="E13" i="1"/>
  <c r="G13" i="1" s="1"/>
  <c r="E8" i="1"/>
  <c r="G8" i="1" s="1"/>
  <c r="D3" i="1"/>
  <c r="D4" i="1"/>
  <c r="D5" i="1"/>
  <c r="D8" i="1"/>
  <c r="D9" i="1"/>
  <c r="D10" i="1"/>
  <c r="D11" i="1"/>
  <c r="D12" i="1"/>
  <c r="D15" i="1"/>
  <c r="D16" i="1"/>
  <c r="D17" i="1"/>
  <c r="B14" i="1"/>
  <c r="D14" i="1" s="1"/>
  <c r="B13" i="1"/>
  <c r="D13" i="1" s="1"/>
  <c r="B7" i="1"/>
  <c r="D7" i="1" s="1"/>
  <c r="B6" i="1"/>
  <c r="D6" i="1" s="1"/>
  <c r="D18" i="1" l="1"/>
  <c r="D19" i="1" s="1"/>
  <c r="C50" i="1"/>
  <c r="G18" i="1"/>
  <c r="G19" i="1" s="1"/>
  <c r="S18" i="1"/>
  <c r="S19" i="1" s="1"/>
  <c r="M18" i="1"/>
  <c r="M19" i="1" s="1"/>
  <c r="P18" i="1"/>
  <c r="P19" i="1" s="1"/>
  <c r="J18" i="1"/>
  <c r="J19" i="1" s="1"/>
  <c r="V18" i="1"/>
  <c r="V19" i="1" s="1"/>
  <c r="B20" i="1" l="1"/>
  <c r="C35" i="1" s="1"/>
  <c r="D44" i="1" l="1"/>
  <c r="G35" i="1"/>
  <c r="H35" i="1"/>
  <c r="F35" i="1"/>
  <c r="F44" i="1"/>
  <c r="H44" i="1"/>
  <c r="E35" i="1"/>
  <c r="G44" i="1"/>
  <c r="E44" i="1"/>
  <c r="C44" i="1"/>
  <c r="D35" i="1"/>
  <c r="I35" i="1"/>
  <c r="J44" i="1" l="1"/>
  <c r="I44" i="1"/>
  <c r="D50" i="1" s="1"/>
  <c r="J35" i="1"/>
</calcChain>
</file>

<file path=xl/sharedStrings.xml><?xml version="1.0" encoding="utf-8"?>
<sst xmlns="http://schemas.openxmlformats.org/spreadsheetml/2006/main" count="89" uniqueCount="72">
  <si>
    <t>A6</t>
  </si>
  <si>
    <t>A4</t>
  </si>
  <si>
    <t>A5</t>
  </si>
  <si>
    <t>Ca</t>
  </si>
  <si>
    <t>B4</t>
  </si>
  <si>
    <t>medios</t>
  </si>
  <si>
    <t>medios2</t>
  </si>
  <si>
    <t>Total</t>
  </si>
  <si>
    <t>Superficie</t>
  </si>
  <si>
    <t>V</t>
  </si>
  <si>
    <t>Volumen de la pila en metros cúbicos</t>
  </si>
  <si>
    <t>L</t>
  </si>
  <si>
    <t>Largo de la pilaen metros</t>
  </si>
  <si>
    <t>A</t>
  </si>
  <si>
    <t>Ancho de la pila en metros</t>
  </si>
  <si>
    <t>H</t>
  </si>
  <si>
    <t>Altura de la pila en metros</t>
  </si>
  <si>
    <t>FE</t>
  </si>
  <si>
    <t>coeficiente de apilado factor de espaciamiento</t>
  </si>
  <si>
    <t>Superficie A6</t>
  </si>
  <si>
    <t>Superficie B4</t>
  </si>
  <si>
    <t>A52</t>
  </si>
  <si>
    <t>medios A4</t>
  </si>
  <si>
    <t>Superficie2</t>
  </si>
  <si>
    <t>OTROS</t>
  </si>
  <si>
    <t>MEDIOS3</t>
  </si>
  <si>
    <t>MEDIOS33</t>
  </si>
  <si>
    <t>B2</t>
  </si>
  <si>
    <t>SuperficieOTROS</t>
  </si>
  <si>
    <t>SuperficieB2</t>
  </si>
  <si>
    <t>A1</t>
  </si>
  <si>
    <t>MEDIOS A1</t>
  </si>
  <si>
    <t>Superficie A1</t>
  </si>
  <si>
    <t>parcela</t>
  </si>
  <si>
    <t>A2</t>
  </si>
  <si>
    <t>A3</t>
  </si>
  <si>
    <t>totales</t>
  </si>
  <si>
    <t>Nº de pies</t>
  </si>
  <si>
    <t>Volumen de la pila m3</t>
  </si>
  <si>
    <t>21.8x9.5x3</t>
  </si>
  <si>
    <t>40x2.5x8x</t>
  </si>
  <si>
    <t>3.3x17.5x8.5</t>
  </si>
  <si>
    <t>19.5x3x8</t>
  </si>
  <si>
    <t>9x2.7x13</t>
  </si>
  <si>
    <t>10.5x9.5x3</t>
  </si>
  <si>
    <t>Tn de astilla</t>
  </si>
  <si>
    <t>B1</t>
  </si>
  <si>
    <t>B3</t>
  </si>
  <si>
    <t>B5</t>
  </si>
  <si>
    <t>B6</t>
  </si>
  <si>
    <t>TOTALES</t>
  </si>
  <si>
    <t>14x8x3</t>
  </si>
  <si>
    <t>18x1.4x6.8</t>
  </si>
  <si>
    <t>115x3x8</t>
  </si>
  <si>
    <t>12x2.9x8.4</t>
  </si>
  <si>
    <t>15 x3x8</t>
  </si>
  <si>
    <t>3.7x0.7x7.8+ 3,2x1,2x7,5+15x2,2x7,5</t>
  </si>
  <si>
    <t>5x1.5x8.7</t>
  </si>
  <si>
    <t>Total Pilas Ay B</t>
  </si>
  <si>
    <t>volumen aparente</t>
  </si>
  <si>
    <t>Volumen real</t>
  </si>
  <si>
    <t>Volumen aparente</t>
  </si>
  <si>
    <t>"coeficiente de apilado"</t>
  </si>
  <si>
    <t>Columna1</t>
  </si>
  <si>
    <t>Tn pesadas</t>
  </si>
  <si>
    <t>Tn de astilla pesadas</t>
  </si>
  <si>
    <t>Tn/ha astilla</t>
  </si>
  <si>
    <t>Tn/ha astilla pesadas</t>
  </si>
  <si>
    <t>Media parcelas A</t>
  </si>
  <si>
    <t>50,94 t/ha</t>
  </si>
  <si>
    <t>Media parcelas B</t>
  </si>
  <si>
    <t>27,18 t/ha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</si>
</sst>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rgb="FF538135"/>
      <name val="Calibri"/>
      <scheme val="minor"/>
    </font>
    <font>
      <sz val="10"/>
      <color theme="1"/>
      <name val="Liberation Sans"/>
      <family val="2"/>
    </font>
    <font>
      <b/>
      <sz val="10"/>
      <color theme="1"/>
      <name val="Liberatio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DBB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43" fontId="0" fillId="0" borderId="0" xfId="1" applyFont="1"/>
    <xf numFmtId="43" fontId="0" fillId="0" borderId="0" xfId="0" applyNumberFormat="1"/>
    <xf numFmtId="0" fontId="0" fillId="0" borderId="0" xfId="0" applyBorder="1"/>
    <xf numFmtId="0" fontId="5" fillId="0" borderId="0" xfId="0" applyFont="1"/>
    <xf numFmtId="0" fontId="0" fillId="0" borderId="8" xfId="0" applyBorder="1"/>
    <xf numFmtId="0" fontId="1" fillId="0" borderId="9" xfId="0" applyFont="1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43" fontId="0" fillId="0" borderId="2" xfId="1" applyFont="1" applyBorder="1"/>
    <xf numFmtId="43" fontId="0" fillId="0" borderId="4" xfId="1" applyFont="1" applyBorder="1"/>
    <xf numFmtId="43" fontId="1" fillId="0" borderId="4" xfId="1" applyFont="1" applyBorder="1"/>
    <xf numFmtId="0" fontId="5" fillId="0" borderId="3" xfId="0" applyFont="1" applyBorder="1"/>
    <xf numFmtId="0" fontId="5" fillId="0" borderId="0" xfId="0" applyFont="1" applyBorder="1"/>
    <xf numFmtId="43" fontId="0" fillId="0" borderId="6" xfId="1" applyFont="1" applyBorder="1"/>
    <xf numFmtId="43" fontId="0" fillId="0" borderId="8" xfId="1" applyFont="1" applyBorder="1"/>
    <xf numFmtId="43" fontId="0" fillId="0" borderId="0" xfId="1" applyFont="1" applyBorder="1"/>
    <xf numFmtId="43" fontId="1" fillId="0" borderId="0" xfId="1" applyFont="1" applyBorder="1"/>
    <xf numFmtId="43" fontId="1" fillId="0" borderId="9" xfId="1" applyFont="1" applyBorder="1"/>
    <xf numFmtId="0" fontId="0" fillId="0" borderId="9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43" fontId="0" fillId="0" borderId="13" xfId="1" applyFont="1" applyBorder="1"/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2" fontId="0" fillId="0" borderId="1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3" fontId="0" fillId="0" borderId="7" xfId="1" applyFont="1" applyBorder="1"/>
    <xf numFmtId="0" fontId="3" fillId="0" borderId="6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43" fontId="0" fillId="0" borderId="14" xfId="0" applyNumberFormat="1" applyBorder="1" applyAlignment="1">
      <alignment horizontal="center"/>
    </xf>
    <xf numFmtId="43" fontId="0" fillId="0" borderId="15" xfId="1" applyFont="1" applyBorder="1" applyAlignment="1"/>
    <xf numFmtId="43" fontId="0" fillId="0" borderId="12" xfId="1" applyFont="1" applyBorder="1" applyAlignment="1">
      <alignment vertical="center" wrapText="1"/>
    </xf>
    <xf numFmtId="43" fontId="0" fillId="0" borderId="11" xfId="1" applyFont="1" applyBorder="1" applyAlignment="1"/>
    <xf numFmtId="43" fontId="0" fillId="0" borderId="7" xfId="0" applyNumberFormat="1" applyBorder="1"/>
    <xf numFmtId="164" fontId="4" fillId="0" borderId="0" xfId="0" applyNumberFormat="1" applyFont="1"/>
    <xf numFmtId="164" fontId="0" fillId="0" borderId="0" xfId="0" applyNumberFormat="1"/>
    <xf numFmtId="43" fontId="8" fillId="0" borderId="0" xfId="1" applyFont="1"/>
    <xf numFmtId="0" fontId="0" fillId="0" borderId="13" xfId="0" applyNumberFormat="1" applyBorder="1"/>
    <xf numFmtId="165" fontId="0" fillId="0" borderId="0" xfId="0" applyNumberFormat="1"/>
    <xf numFmtId="43" fontId="0" fillId="0" borderId="14" xfId="1" applyFont="1" applyBorder="1"/>
    <xf numFmtId="0" fontId="0" fillId="0" borderId="15" xfId="0" applyBorder="1" applyAlignment="1">
      <alignment horizontal="justify" vertical="center" wrapText="1"/>
    </xf>
    <xf numFmtId="164" fontId="0" fillId="0" borderId="7" xfId="0" applyNumberForma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43" fontId="0" fillId="0" borderId="7" xfId="1" applyFont="1" applyBorder="1" applyAlignment="1">
      <alignment horizontal="justify" vertical="center" wrapText="1"/>
    </xf>
    <xf numFmtId="43" fontId="0" fillId="0" borderId="11" xfId="1" applyFont="1" applyBorder="1"/>
    <xf numFmtId="0" fontId="0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3" fontId="0" fillId="0" borderId="10" xfId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9" fillId="0" borderId="9" xfId="0" applyFont="1" applyBorder="1" applyAlignment="1">
      <alignment horizontal="justify" vertical="center" wrapText="1"/>
    </xf>
    <xf numFmtId="43" fontId="0" fillId="0" borderId="14" xfId="1" applyFont="1" applyBorder="1" applyAlignment="1">
      <alignment horizontal="justify" vertical="center" wrapText="1"/>
    </xf>
    <xf numFmtId="43" fontId="0" fillId="0" borderId="8" xfId="1" applyFont="1" applyBorder="1" applyAlignment="1"/>
    <xf numFmtId="0" fontId="0" fillId="0" borderId="7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2" fontId="0" fillId="0" borderId="0" xfId="0" applyNumberFormat="1"/>
    <xf numFmtId="2" fontId="0" fillId="0" borderId="12" xfId="0" applyNumberFormat="1" applyBorder="1"/>
    <xf numFmtId="2" fontId="0" fillId="2" borderId="12" xfId="0" applyNumberFormat="1" applyFont="1" applyFill="1" applyBorder="1"/>
    <xf numFmtId="2" fontId="0" fillId="0" borderId="7" xfId="0" applyNumberFormat="1" applyBorder="1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3" fontId="0" fillId="0" borderId="10" xfId="0" applyNumberFormat="1" applyBorder="1" applyAlignment="1"/>
    <xf numFmtId="43" fontId="0" fillId="0" borderId="7" xfId="0" applyNumberFormat="1" applyBorder="1" applyAlignment="1"/>
    <xf numFmtId="43" fontId="0" fillId="0" borderId="2" xfId="1" applyFont="1" applyBorder="1" applyAlignment="1">
      <alignment vertical="center" wrapText="1"/>
    </xf>
    <xf numFmtId="43" fontId="0" fillId="0" borderId="14" xfId="0" applyNumberFormat="1" applyBorder="1" applyAlignment="1"/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43" fontId="0" fillId="2" borderId="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7" xfId="0" applyNumberFormat="1" applyBorder="1"/>
    <xf numFmtId="164" fontId="6" fillId="0" borderId="18" xfId="0" applyNumberFormat="1" applyFont="1" applyBorder="1"/>
    <xf numFmtId="164" fontId="0" fillId="0" borderId="19" xfId="0" applyNumberFormat="1" applyBorder="1"/>
    <xf numFmtId="164" fontId="0" fillId="0" borderId="10" xfId="0" applyNumberFormat="1" applyBorder="1"/>
    <xf numFmtId="0" fontId="0" fillId="2" borderId="20" xfId="0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39">
    <dxf>
      <numFmt numFmtId="2" formatCode="0.00"/>
    </dxf>
    <dxf>
      <numFmt numFmtId="35" formatCode="_-* #,##0.00_-;\-* #,##0.00_-;_-* &quot;-&quot;??_-;_-@_-"/>
      <border diagonalUp="0" diagonalDown="0" outline="0">
        <left style="medium">
          <color indexed="64"/>
        </left>
        <right/>
        <top/>
        <bottom/>
      </border>
    </dxf>
    <dxf>
      <numFmt numFmtId="2" formatCode="0.00"/>
      <alignment horizontal="general" vertical="bottom" textRotation="0" wrapText="0" indent="0" justifyLastLine="0" shrinkToFit="0" readingOrder="0"/>
    </dxf>
    <dxf>
      <numFmt numFmtId="0" formatCode="General"/>
      <border diagonalUp="0" diagonalDown="0" outline="0">
        <left style="medium">
          <color indexed="64"/>
        </left>
        <right/>
        <top/>
        <bottom/>
      </border>
    </dxf>
    <dxf>
      <numFmt numFmtId="0" formatCode="General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justify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numFmt numFmtId="164" formatCode="_-* #,##0.00\ _€_-;\-* #,##0.00\ _€_-;_-* &quot;-&quot;??\ _€_-;_-@_-"/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justify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alignment horizontal="justify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38135"/>
        <name val="Calibri"/>
        <scheme val="minor"/>
      </font>
      <alignment horizontal="justify" vertical="center" textRotation="0" wrapText="1" indent="0" justifyLastLine="0" shrinkToFit="0" readingOrder="0"/>
    </dxf>
    <dxf>
      <alignment horizontal="justify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alignment horizontal="justify" vertical="center" textRotation="0" wrapText="1" indent="0" justifyLastLine="0" shrinkToFit="0" readingOrder="0"/>
    </dxf>
    <dxf>
      <numFmt numFmtId="0" formatCode="General"/>
    </dxf>
    <dxf>
      <numFmt numFmtId="0" formatCode="General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medium">
          <color indexed="64"/>
        </right>
        <top/>
        <bottom/>
      </border>
    </dxf>
    <dxf>
      <numFmt numFmtId="0" formatCode="General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35" formatCode="_-* #,##0.00_-;\-* #,##0.00_-;_-* &quot;-&quot;??_-;_-@_-"/>
    </dxf>
    <dxf>
      <numFmt numFmtId="35" formatCode="_-* #,##0.00_-;\-* #,##0.00_-;_-* &quot;-&quot;??_-;_-@_-"/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B1:V18" totalsRowCount="1">
  <autoFilter ref="B1:V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A6" totalsRowLabel="Total" dataDxfId="38" totalsRowDxfId="37"/>
    <tableColumn id="2" name="medios"/>
    <tableColumn id="9" name="Superficie A6" totalsRowFunction="sum" dataDxfId="36" totalsRowDxfId="35" dataCellStyle="Millares">
      <calculatedColumnFormula>(PI()/4)*(((Tabla1[[#This Row],[A6]])^2))</calculatedColumnFormula>
    </tableColumn>
    <tableColumn id="3" name="B4" dataDxfId="34" totalsRowDxfId="33"/>
    <tableColumn id="4" name="medios2" dataDxfId="32" totalsRowDxfId="31"/>
    <tableColumn id="10" name="Superficie B4" totalsRowFunction="sum" dataDxfId="30" totalsRowDxfId="29" dataCellStyle="Millares">
      <calculatedColumnFormula>(PI()/4)*(((Tabla1[[#This Row],[B4]])^2))</calculatedColumnFormula>
    </tableColumn>
    <tableColumn id="5" name="A4" dataDxfId="28" totalsRowDxfId="27"/>
    <tableColumn id="6" name="medios A4"/>
    <tableColumn id="12" name="Superficie" totalsRowFunction="sum" dataDxfId="26" totalsRowDxfId="25" dataCellStyle="Millares">
      <calculatedColumnFormula>(PI()/4)*(((Tabla1[[#This Row],[A4]])^2))</calculatedColumnFormula>
    </tableColumn>
    <tableColumn id="7" name="A5" dataDxfId="24" totalsRowDxfId="23"/>
    <tableColumn id="14" name="A52"/>
    <tableColumn id="8" name="Superficie2" totalsRowFunction="sum" dataDxfId="22" totalsRowDxfId="21" dataCellStyle="Millares">
      <calculatedColumnFormula>(PI()/4)*(((Tabla1[[#This Row],[A5]])^2))</calculatedColumnFormula>
    </tableColumn>
    <tableColumn id="15" name="OTROS"/>
    <tableColumn id="16" name="MEDIOS3"/>
    <tableColumn id="17" name="SuperficieOTROS" totalsRowFunction="sum" totalsRowDxfId="20" dataCellStyle="Millares">
      <calculatedColumnFormula>(PI()/4)*(((Tabla1[[#This Row],[OTROS]])^2))</calculatedColumnFormula>
    </tableColumn>
    <tableColumn id="18" name="B2" dataDxfId="19"/>
    <tableColumn id="19" name="MEDIOS33"/>
    <tableColumn id="20" name="SuperficieB2" totalsRowFunction="sum" dataDxfId="18" dataCellStyle="Millares">
      <calculatedColumnFormula>(PI()/4)*(((Tabla1[[#This Row],[B2]])^2))</calculatedColumnFormula>
    </tableColumn>
    <tableColumn id="21" name="A1"/>
    <tableColumn id="22" name="MEDIOS A1"/>
    <tableColumn id="23" name="Superficie A1" totalsRowFunction="sum" dataDxfId="17">
      <calculatedColumnFormula>(PI()/4)*(((Tabla1[[#This Row],[A1]])^2))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B30:J38" totalsRowCount="1" headerRowDxfId="16" headerRowBorderDxfId="15" tableBorderDxfId="14">
  <autoFilter ref="B30:J3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9">
    <tableColumn id="1" name="parcela"/>
    <tableColumn id="2" name="A1" totalsRowDxfId="6"/>
    <tableColumn id="3" name="A2" dataDxfId="13" totalsRowDxfId="5"/>
    <tableColumn id="4" name="A3"/>
    <tableColumn id="5" name="A4"/>
    <tableColumn id="6" name="A5"/>
    <tableColumn id="7" name="A6"/>
    <tableColumn id="8" name="totales" dataDxfId="3" totalsRowDxfId="4">
      <calculatedColumnFormula>SUM(Tabla13[[#This Row],[A1]:[A6]])</calculatedColumnFormula>
    </tableColumn>
    <tableColumn id="9" name="Columna1" dataDxfId="2">
      <calculatedColumnFormula>Tabla13[[#This Row],[A6]]+Tabla13[[#This Row],[A5]]+Tabla13[[#This Row],[A4]]+Tabla13[[#This Row],[A3]]+Tabla13[[#This Row],[A2]]+Tabla13[[#This Row],[A1]]</calculatedColumnFormula>
    </tableColumn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B39:J44" totalsRowShown="0" headerRowDxfId="12" headerRowBorderDxfId="11" tableBorderDxfId="10">
  <autoFilter ref="B39:J4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9">
    <tableColumn id="1" name="parcela"/>
    <tableColumn id="2" name="B1"/>
    <tableColumn id="3" name="B2" dataDxfId="9" totalsRowDxfId="8"/>
    <tableColumn id="4" name="B3"/>
    <tableColumn id="5" name="B4"/>
    <tableColumn id="6" name="B5"/>
    <tableColumn id="7" name="B6"/>
    <tableColumn id="8" name="TOTALES" dataDxfId="1" totalsRowDxfId="7">
      <calculatedColumnFormula>Tabla3[[#This Row],[B1]]+Tabla3[[#This Row],[B2]]+Tabla3[[#This Row],[B3]]+Tabla3[[#This Row],[B4]]+Tabla3[[#This Row],[B5]]+Tabla3[[#This Row],[B6]]</calculatedColumnFormula>
    </tableColumn>
    <tableColumn id="9" name="Columna1" dataDxfId="0">
      <calculatedColumnFormula>Tabla3[[#This Row],[B6]]+Tabla3[[#This Row],[B5]]+Tabla3[[#This Row],[B4]]+Tabla3[[#This Row],[B3]]+Tabla3[[#This Row],[B2]]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A7" workbookViewId="0">
      <selection activeCell="G58" sqref="G58"/>
    </sheetView>
  </sheetViews>
  <sheetFormatPr baseColWidth="10" defaultColWidth="8.7265625" defaultRowHeight="14.5" x14ac:dyDescent="0.35"/>
  <cols>
    <col min="2" max="2" width="12.453125" customWidth="1"/>
    <col min="3" max="3" width="11.7265625" customWidth="1"/>
    <col min="4" max="4" width="12.54296875" bestFit="1" customWidth="1"/>
    <col min="5" max="5" width="9.90625" customWidth="1"/>
    <col min="6" max="6" width="9" bestFit="1" customWidth="1"/>
    <col min="7" max="7" width="16.26953125" customWidth="1"/>
    <col min="8" max="8" width="9" bestFit="1" customWidth="1"/>
    <col min="9" max="9" width="12.90625" customWidth="1"/>
    <col min="10" max="10" width="11.453125" customWidth="1"/>
    <col min="11" max="11" width="8.7265625" customWidth="1"/>
    <col min="12" max="12" width="14" customWidth="1"/>
    <col min="13" max="13" width="11.6328125" customWidth="1"/>
    <col min="16" max="16" width="12" customWidth="1"/>
    <col min="19" max="19" width="15.26953125" customWidth="1"/>
    <col min="22" max="22" width="13.7265625" customWidth="1"/>
  </cols>
  <sheetData>
    <row r="1" spans="2:22" ht="15" thickBot="1" x14ac:dyDescent="0.4">
      <c r="B1" t="s">
        <v>0</v>
      </c>
      <c r="C1" t="s">
        <v>5</v>
      </c>
      <c r="D1" t="s">
        <v>19</v>
      </c>
      <c r="E1" s="2" t="s">
        <v>4</v>
      </c>
      <c r="F1" s="3" t="s">
        <v>6</v>
      </c>
      <c r="G1" s="11" t="s">
        <v>20</v>
      </c>
      <c r="H1" s="2" t="s">
        <v>1</v>
      </c>
      <c r="I1" s="13" t="s">
        <v>22</v>
      </c>
      <c r="J1" s="3" t="s">
        <v>8</v>
      </c>
      <c r="K1" t="s">
        <v>2</v>
      </c>
      <c r="L1" t="s">
        <v>21</v>
      </c>
      <c r="M1" t="s">
        <v>23</v>
      </c>
      <c r="N1" t="s">
        <v>24</v>
      </c>
      <c r="O1" t="s">
        <v>25</v>
      </c>
      <c r="P1" t="s">
        <v>28</v>
      </c>
      <c r="Q1" s="2" t="s">
        <v>27</v>
      </c>
      <c r="R1" s="13" t="s">
        <v>26</v>
      </c>
      <c r="S1" s="3" t="s">
        <v>29</v>
      </c>
      <c r="T1" t="s">
        <v>30</v>
      </c>
      <c r="U1" t="s">
        <v>31</v>
      </c>
      <c r="V1" t="s">
        <v>32</v>
      </c>
    </row>
    <row r="2" spans="2:22" x14ac:dyDescent="0.35">
      <c r="B2" s="2">
        <v>17</v>
      </c>
      <c r="C2" s="13"/>
      <c r="D2" s="18">
        <f>(PI()/4)*(((Tabla1[[#This Row],[A6]])^2))</f>
        <v>226.98006922186255</v>
      </c>
      <c r="E2" s="2">
        <v>17</v>
      </c>
      <c r="F2" s="13"/>
      <c r="G2" s="24">
        <f>(PI()/4)*(((Tabla1[[#This Row],[B4]])^2))</f>
        <v>226.98006922186255</v>
      </c>
      <c r="H2" s="21">
        <f>Tabla1[[#This Row],[medios A4]]/2</f>
        <v>12.75</v>
      </c>
      <c r="I2" s="22">
        <v>25.5</v>
      </c>
      <c r="J2" s="19">
        <f>(PI()/4)*(((Tabla1[[#This Row],[A4]])^2))</f>
        <v>127.67628893729768</v>
      </c>
      <c r="K2" s="2">
        <v>30</v>
      </c>
      <c r="L2" s="13"/>
      <c r="M2" s="18">
        <f>(PI()/4)*(((Tabla1[[#This Row],[A5]])^2))</f>
        <v>706.85834705770344</v>
      </c>
      <c r="N2">
        <v>30</v>
      </c>
      <c r="P2" s="9">
        <f>(PI()/4)*(((Tabla1[[#This Row],[OTROS]])^2))</f>
        <v>706.85834705770344</v>
      </c>
      <c r="Q2" s="4">
        <v>34</v>
      </c>
      <c r="R2" s="11"/>
      <c r="S2" s="19">
        <f>(PI()/4)*(((Tabla1[[#This Row],[B2]])^2))</f>
        <v>907.9202768874502</v>
      </c>
      <c r="T2">
        <v>18</v>
      </c>
      <c r="U2">
        <v>18</v>
      </c>
      <c r="V2" s="9">
        <f>(PI()/4)*(((Tabla1[[#This Row],[A1]])^2))</f>
        <v>254.46900494077323</v>
      </c>
    </row>
    <row r="3" spans="2:22" x14ac:dyDescent="0.35">
      <c r="B3" s="4">
        <v>19</v>
      </c>
      <c r="C3" s="11"/>
      <c r="D3" s="19">
        <f>(PI()/4)*(((Tabla1[[#This Row],[A6]])^2))</f>
        <v>283.5287369864788</v>
      </c>
      <c r="E3" s="4">
        <v>22</v>
      </c>
      <c r="F3" s="11"/>
      <c r="G3" s="25">
        <f>(PI()/4)*(((Tabla1[[#This Row],[B4]])^2))</f>
        <v>380.13271108436498</v>
      </c>
      <c r="H3" s="4">
        <v>24</v>
      </c>
      <c r="I3" s="11"/>
      <c r="J3" s="19">
        <f>(PI()/4)*(((Tabla1[[#This Row],[A4]])^2))</f>
        <v>452.38934211693021</v>
      </c>
      <c r="K3" s="21">
        <f>Tabla1[[#This Row],[A52]]/2</f>
        <v>13.5</v>
      </c>
      <c r="L3" s="22">
        <v>27</v>
      </c>
      <c r="M3" s="19">
        <f>(PI()/4)*(((Tabla1[[#This Row],[A5]])^2))</f>
        <v>143.13881527918494</v>
      </c>
      <c r="N3">
        <v>23</v>
      </c>
      <c r="P3" s="9">
        <f>(PI()/4)*(((Tabla1[[#This Row],[OTROS]])^2))</f>
        <v>415.47562843725012</v>
      </c>
      <c r="Q3" s="4">
        <v>23</v>
      </c>
      <c r="R3" s="11"/>
      <c r="S3" s="19">
        <f>(PI()/4)*(((Tabla1[[#This Row],[B2]])^2))</f>
        <v>415.47562843725012</v>
      </c>
      <c r="T3">
        <v>13</v>
      </c>
      <c r="V3" s="9">
        <f>(PI()/4)*(((Tabla1[[#This Row],[A1]])^2))</f>
        <v>132.73228961416876</v>
      </c>
    </row>
    <row r="4" spans="2:22" x14ac:dyDescent="0.35">
      <c r="B4" s="4">
        <v>17</v>
      </c>
      <c r="C4" s="11"/>
      <c r="D4" s="19">
        <f>(PI()/4)*(((Tabla1[[#This Row],[A6]])^2))</f>
        <v>226.98006922186255</v>
      </c>
      <c r="E4" s="4">
        <v>23</v>
      </c>
      <c r="F4" s="11"/>
      <c r="G4" s="25">
        <f>(PI()/4)*(((Tabla1[[#This Row],[B4]])^2))</f>
        <v>415.47562843725012</v>
      </c>
      <c r="H4" s="4">
        <v>20</v>
      </c>
      <c r="I4" s="11"/>
      <c r="J4" s="19">
        <f>(PI()/4)*(((Tabla1[[#This Row],[A4]])^2))</f>
        <v>314.15926535897933</v>
      </c>
      <c r="K4" s="4">
        <v>12</v>
      </c>
      <c r="L4" s="11"/>
      <c r="M4" s="19">
        <f>(PI()/4)*(((Tabla1[[#This Row],[A5]])^2))</f>
        <v>113.09733552923255</v>
      </c>
      <c r="N4">
        <v>15</v>
      </c>
      <c r="P4" s="9">
        <f>(PI()/4)*(((Tabla1[[#This Row],[OTROS]])^2))</f>
        <v>176.71458676442586</v>
      </c>
      <c r="Q4" s="4">
        <v>22</v>
      </c>
      <c r="R4" s="11"/>
      <c r="S4" s="19">
        <f>(PI()/4)*(((Tabla1[[#This Row],[B2]])^2))</f>
        <v>380.13271108436498</v>
      </c>
      <c r="T4">
        <v>11</v>
      </c>
      <c r="V4" s="9">
        <f>(PI()/4)*(((Tabla1[[#This Row],[A1]])^2))</f>
        <v>95.033177771091246</v>
      </c>
    </row>
    <row r="5" spans="2:22" x14ac:dyDescent="0.35">
      <c r="B5" s="4">
        <v>17.5</v>
      </c>
      <c r="C5" s="11"/>
      <c r="D5" s="19">
        <f>(PI()/4)*(((Tabla1[[#This Row],[A6]])^2))</f>
        <v>240.52818754046854</v>
      </c>
      <c r="E5" s="4">
        <v>23</v>
      </c>
      <c r="F5" s="11"/>
      <c r="G5" s="25">
        <f>(PI()/4)*(((Tabla1[[#This Row],[B4]])^2))</f>
        <v>415.47562843725012</v>
      </c>
      <c r="H5" s="4">
        <v>20</v>
      </c>
      <c r="I5" s="11"/>
      <c r="J5" s="19">
        <f>(PI()/4)*(((Tabla1[[#This Row],[A4]])^2))</f>
        <v>314.15926535897933</v>
      </c>
      <c r="K5" s="4">
        <v>26</v>
      </c>
      <c r="L5" s="11"/>
      <c r="M5" s="19">
        <f>(PI()/4)*(((Tabla1[[#This Row],[A5]])^2))</f>
        <v>530.92915845667505</v>
      </c>
      <c r="N5" s="12">
        <f>Tabla1[[#This Row],[MEDIOS3]]/2</f>
        <v>13.5</v>
      </c>
      <c r="O5" s="12">
        <v>27</v>
      </c>
      <c r="P5" s="9">
        <f>(PI()/4)*(((Tabla1[[#This Row],[OTROS]])^2))</f>
        <v>143.13881527918494</v>
      </c>
      <c r="Q5" s="4">
        <v>23</v>
      </c>
      <c r="R5" s="11"/>
      <c r="S5" s="19">
        <f>(PI()/4)*(((Tabla1[[#This Row],[B2]])^2))</f>
        <v>415.47562843725012</v>
      </c>
      <c r="T5">
        <f>Tabla1[[#This Row],[MEDIOS A1]]/2</f>
        <v>7.5</v>
      </c>
      <c r="U5">
        <v>15</v>
      </c>
      <c r="V5" s="9">
        <f>(PI()/4)*(((Tabla1[[#This Row],[A1]])^2))</f>
        <v>44.178646691106465</v>
      </c>
    </row>
    <row r="6" spans="2:22" x14ac:dyDescent="0.35">
      <c r="B6" s="6">
        <f>Tabla1[[#This Row],[medios]]/2</f>
        <v>13.5</v>
      </c>
      <c r="C6" s="8">
        <v>27</v>
      </c>
      <c r="D6" s="20">
        <f>(PI()/4)*(((Tabla1[[#This Row],[A6]])^2))</f>
        <v>143.13881527918494</v>
      </c>
      <c r="E6" s="4">
        <v>21</v>
      </c>
      <c r="F6" s="11"/>
      <c r="G6" s="25">
        <f>(PI()/4)*(((Tabla1[[#This Row],[B4]])^2))</f>
        <v>346.36059005827468</v>
      </c>
      <c r="H6" s="21">
        <f>Tabla1[[#This Row],[medios A4]]/2</f>
        <v>15</v>
      </c>
      <c r="I6" s="22">
        <v>30</v>
      </c>
      <c r="J6" s="19">
        <f>(PI()/4)*(((Tabla1[[#This Row],[A4]])^2))</f>
        <v>176.71458676442586</v>
      </c>
      <c r="K6" s="4">
        <v>16</v>
      </c>
      <c r="L6" s="11"/>
      <c r="M6" s="19">
        <f>(PI()/4)*(((Tabla1[[#This Row],[A5]])^2))</f>
        <v>201.06192982974676</v>
      </c>
      <c r="N6" s="12">
        <f>Tabla1[[#This Row],[MEDIOS3]]/2</f>
        <v>10</v>
      </c>
      <c r="O6" s="12">
        <v>20</v>
      </c>
      <c r="P6" s="9">
        <f>(PI()/4)*(((Tabla1[[#This Row],[OTROS]])^2))</f>
        <v>78.539816339744831</v>
      </c>
      <c r="Q6" s="4">
        <v>22</v>
      </c>
      <c r="R6" s="11"/>
      <c r="S6" s="19">
        <f>(PI()/4)*(((Tabla1[[#This Row],[B2]])^2))</f>
        <v>380.13271108436498</v>
      </c>
      <c r="T6">
        <v>19</v>
      </c>
      <c r="V6" s="9">
        <f>(PI()/4)*(((Tabla1[[#This Row],[A1]])^2))</f>
        <v>283.5287369864788</v>
      </c>
    </row>
    <row r="7" spans="2:22" x14ac:dyDescent="0.35">
      <c r="B7" s="21">
        <f>Tabla1[[#This Row],[medios]]/2</f>
        <v>13.75</v>
      </c>
      <c r="C7" s="22">
        <v>27.5</v>
      </c>
      <c r="D7" s="19">
        <f>(PI()/4)*(((Tabla1[[#This Row],[A6]])^2))</f>
        <v>148.48934026733008</v>
      </c>
      <c r="E7" s="4">
        <v>22</v>
      </c>
      <c r="F7" s="11"/>
      <c r="G7" s="25">
        <f>(PI()/4)*(((Tabla1[[#This Row],[B4]])^2))</f>
        <v>380.13271108436498</v>
      </c>
      <c r="H7" s="21">
        <f>Tabla1[[#This Row],[medios A4]]/2</f>
        <v>10</v>
      </c>
      <c r="I7" s="22">
        <v>20</v>
      </c>
      <c r="J7" s="19">
        <f>(PI()/4)*(((Tabla1[[#This Row],[A4]])^2))</f>
        <v>78.539816339744831</v>
      </c>
      <c r="K7" s="4">
        <v>29</v>
      </c>
      <c r="L7" s="11"/>
      <c r="M7" s="19">
        <f>(PI()/4)*(((Tabla1[[#This Row],[A5]])^2))</f>
        <v>660.51985541725401</v>
      </c>
      <c r="N7">
        <v>21</v>
      </c>
      <c r="P7" s="9">
        <f>(PI()/4)*(((Tabla1[[#This Row],[OTROS]])^2))</f>
        <v>346.36059005827468</v>
      </c>
      <c r="Q7" s="4">
        <f>Tabla1[[#This Row],[MEDIOS33]]/2</f>
        <v>11</v>
      </c>
      <c r="R7" s="11">
        <v>22</v>
      </c>
      <c r="S7" s="19">
        <f>(PI()/4)*(((Tabla1[[#This Row],[B2]])^2))</f>
        <v>95.033177771091246</v>
      </c>
      <c r="T7">
        <v>15</v>
      </c>
      <c r="V7" s="9">
        <f>(PI()/4)*(((Tabla1[[#This Row],[A1]])^2))</f>
        <v>176.71458676442586</v>
      </c>
    </row>
    <row r="8" spans="2:22" x14ac:dyDescent="0.35">
      <c r="B8" s="4">
        <v>17</v>
      </c>
      <c r="C8" s="11"/>
      <c r="D8" s="19">
        <f>(PI()/4)*(((Tabla1[[#This Row],[A6]])^2))</f>
        <v>226.98006922186255</v>
      </c>
      <c r="E8" s="6">
        <f>Tabla1[[#This Row],[medios2]]/2</f>
        <v>10</v>
      </c>
      <c r="F8" s="8">
        <v>20</v>
      </c>
      <c r="G8" s="26">
        <f>(PI()/4)*(((Tabla1[[#This Row],[B4]])^2))</f>
        <v>78.539816339744831</v>
      </c>
      <c r="H8" s="4">
        <v>23</v>
      </c>
      <c r="I8" s="11"/>
      <c r="J8" s="19">
        <f>(PI()/4)*(((Tabla1[[#This Row],[A4]])^2))</f>
        <v>415.47562843725012</v>
      </c>
      <c r="K8" s="21">
        <f>Tabla1[[#This Row],[A52]]/2</f>
        <v>12</v>
      </c>
      <c r="L8" s="22">
        <v>24</v>
      </c>
      <c r="M8" s="19">
        <f>(PI()/4)*(((Tabla1[[#This Row],[A5]])^2))</f>
        <v>113.09733552923255</v>
      </c>
      <c r="N8" s="12">
        <f>Tabla1[[#This Row],[MEDIOS3]]/2</f>
        <v>12.5</v>
      </c>
      <c r="O8" s="12">
        <v>25</v>
      </c>
      <c r="P8" s="9">
        <f>(PI()/4)*(((Tabla1[[#This Row],[OTROS]])^2))</f>
        <v>122.7184630308513</v>
      </c>
      <c r="Q8" s="4">
        <f>Tabla1[[#This Row],[MEDIOS33]]/2</f>
        <v>11</v>
      </c>
      <c r="R8" s="11">
        <v>22</v>
      </c>
      <c r="S8" s="19">
        <f>(PI()/4)*(((Tabla1[[#This Row],[B2]])^2))</f>
        <v>95.033177771091246</v>
      </c>
      <c r="T8">
        <v>26</v>
      </c>
      <c r="V8" s="9">
        <f>(PI()/4)*(((Tabla1[[#This Row],[A1]])^2))</f>
        <v>530.92915845667505</v>
      </c>
    </row>
    <row r="9" spans="2:22" x14ac:dyDescent="0.35">
      <c r="B9" s="4">
        <v>17</v>
      </c>
      <c r="C9" s="11"/>
      <c r="D9" s="19">
        <f>(PI()/4)*(((Tabla1[[#This Row],[A6]])^2))</f>
        <v>226.98006922186255</v>
      </c>
      <c r="E9" s="4">
        <v>15.5</v>
      </c>
      <c r="F9" s="11"/>
      <c r="G9" s="25">
        <f>(PI()/4)*(((Tabla1[[#This Row],[B4]])^2))</f>
        <v>188.69190875623696</v>
      </c>
      <c r="H9" s="4">
        <v>27</v>
      </c>
      <c r="I9" s="11"/>
      <c r="J9" s="19">
        <f>(PI()/4)*(((Tabla1[[#This Row],[A4]])^2))</f>
        <v>572.55526111673976</v>
      </c>
      <c r="K9" s="4">
        <v>12</v>
      </c>
      <c r="L9" s="11"/>
      <c r="M9" s="19">
        <f>(PI()/4)*(((Tabla1[[#This Row],[A5]])^2))</f>
        <v>113.09733552923255</v>
      </c>
      <c r="N9" s="12">
        <f>Tabla1[[#This Row],[MEDIOS3]]/2</f>
        <v>14</v>
      </c>
      <c r="O9" s="12">
        <v>28</v>
      </c>
      <c r="P9" s="9">
        <f>(PI()/4)*(((Tabla1[[#This Row],[OTROS]])^2))</f>
        <v>153.93804002589985</v>
      </c>
      <c r="Q9" s="4">
        <f>Tabla1[[#This Row],[MEDIOS33]]/2</f>
        <v>13</v>
      </c>
      <c r="R9" s="11">
        <v>26</v>
      </c>
      <c r="S9" s="19">
        <f>(PI()/4)*(((Tabla1[[#This Row],[B2]])^2))</f>
        <v>132.73228961416876</v>
      </c>
      <c r="T9">
        <v>22</v>
      </c>
      <c r="V9" s="9">
        <f>(PI()/4)*(((Tabla1[[#This Row],[A1]])^2))</f>
        <v>380.13271108436498</v>
      </c>
    </row>
    <row r="10" spans="2:22" x14ac:dyDescent="0.35">
      <c r="B10" s="4">
        <v>27</v>
      </c>
      <c r="C10" s="11"/>
      <c r="D10" s="19">
        <f>(PI()/4)*(((Tabla1[[#This Row],[A6]])^2))</f>
        <v>572.55526111673976</v>
      </c>
      <c r="E10" s="4">
        <v>23</v>
      </c>
      <c r="F10" s="11"/>
      <c r="G10" s="25">
        <f>(PI()/4)*(((Tabla1[[#This Row],[B4]])^2))</f>
        <v>415.47562843725012</v>
      </c>
      <c r="H10" s="4">
        <v>27</v>
      </c>
      <c r="I10" s="11"/>
      <c r="J10" s="19">
        <f>(PI()/4)*(((Tabla1[[#This Row],[A4]])^2))</f>
        <v>572.55526111673976</v>
      </c>
      <c r="K10" s="21">
        <f>Tabla1[[#This Row],[A52]]/2</f>
        <v>13</v>
      </c>
      <c r="L10" s="22">
        <v>26</v>
      </c>
      <c r="M10" s="19">
        <f>(PI()/4)*(((Tabla1[[#This Row],[A5]])^2))</f>
        <v>132.73228961416876</v>
      </c>
      <c r="N10" s="12">
        <f>Tabla1[[#This Row],[MEDIOS3]]/2</f>
        <v>12.5</v>
      </c>
      <c r="O10" s="12">
        <v>25</v>
      </c>
      <c r="P10" s="9">
        <f>(PI()/4)*(((Tabla1[[#This Row],[OTROS]])^2))</f>
        <v>122.7184630308513</v>
      </c>
      <c r="Q10" s="4">
        <v>22</v>
      </c>
      <c r="R10" s="11"/>
      <c r="S10" s="19">
        <f>(PI()/4)*(((Tabla1[[#This Row],[B2]])^2))</f>
        <v>380.13271108436498</v>
      </c>
      <c r="T10">
        <v>25</v>
      </c>
      <c r="V10" s="9">
        <f>(PI()/4)*(((Tabla1[[#This Row],[A1]])^2))</f>
        <v>490.87385212340519</v>
      </c>
    </row>
    <row r="11" spans="2:22" x14ac:dyDescent="0.35">
      <c r="B11" s="4">
        <v>21</v>
      </c>
      <c r="C11" s="11"/>
      <c r="D11" s="19">
        <f>(PI()/4)*(((Tabla1[[#This Row],[A6]])^2))</f>
        <v>346.36059005827468</v>
      </c>
      <c r="E11" s="4">
        <v>24</v>
      </c>
      <c r="F11" s="11"/>
      <c r="G11" s="25">
        <f>(PI()/4)*(((Tabla1[[#This Row],[B4]])^2))</f>
        <v>452.38934211693021</v>
      </c>
      <c r="H11" s="4"/>
      <c r="I11" s="11"/>
      <c r="J11" s="5">
        <f>(PI()/4)*(((Tabla1[[#This Row],[A4]])^2))</f>
        <v>0</v>
      </c>
      <c r="K11" s="21">
        <f>Tabla1[[#This Row],[A52]]/2</f>
        <v>11</v>
      </c>
      <c r="L11" s="22">
        <v>22</v>
      </c>
      <c r="M11" s="19">
        <f>(PI()/4)*(((Tabla1[[#This Row],[A5]])^2))</f>
        <v>95.033177771091246</v>
      </c>
      <c r="N11">
        <v>12</v>
      </c>
      <c r="P11" s="9">
        <f>(PI()/4)*(((Tabla1[[#This Row],[OTROS]])^2))</f>
        <v>113.09733552923255</v>
      </c>
      <c r="Q11" s="4">
        <v>26</v>
      </c>
      <c r="R11" s="11"/>
      <c r="S11" s="19">
        <f>(PI()/4)*(((Tabla1[[#This Row],[B2]])^2))</f>
        <v>530.92915845667505</v>
      </c>
      <c r="T11">
        <f>Tabla1[[#This Row],[MEDIOS A1]]/2</f>
        <v>12</v>
      </c>
      <c r="U11">
        <v>24</v>
      </c>
      <c r="V11" s="9">
        <f>(PI()/4)*(((Tabla1[[#This Row],[A1]])^2))</f>
        <v>113.09733552923255</v>
      </c>
    </row>
    <row r="12" spans="2:22" x14ac:dyDescent="0.35">
      <c r="B12" s="4">
        <v>25</v>
      </c>
      <c r="C12" s="11"/>
      <c r="D12" s="19">
        <f>(PI()/4)*(((Tabla1[[#This Row],[A6]])^2))</f>
        <v>490.87385212340519</v>
      </c>
      <c r="E12" s="4">
        <v>28</v>
      </c>
      <c r="F12" s="11"/>
      <c r="G12" s="25">
        <f>(PI()/4)*(((Tabla1[[#This Row],[B4]])^2))</f>
        <v>615.75216010359941</v>
      </c>
      <c r="H12" s="4"/>
      <c r="I12" s="11"/>
      <c r="J12" s="5">
        <f>(PI()/4)*(((Tabla1[[#This Row],[A4]])^2))</f>
        <v>0</v>
      </c>
      <c r="K12" s="21">
        <f>Tabla1[[#This Row],[A52]]/2</f>
        <v>13.5</v>
      </c>
      <c r="L12" s="22">
        <v>27</v>
      </c>
      <c r="M12" s="19">
        <f>(PI()/4)*(((Tabla1[[#This Row],[A5]])^2))</f>
        <v>143.13881527918494</v>
      </c>
      <c r="N12">
        <v>23</v>
      </c>
      <c r="P12" s="9">
        <f>(PI()/4)*(((Tabla1[[#This Row],[OTROS]])^2))</f>
        <v>415.47562843725012</v>
      </c>
      <c r="Q12" s="4">
        <v>16</v>
      </c>
      <c r="R12" s="11"/>
      <c r="S12" s="19">
        <f>(PI()/4)*(((Tabla1[[#This Row],[B2]])^2))</f>
        <v>201.06192982974676</v>
      </c>
      <c r="T12">
        <f>Tabla1[[#This Row],[MEDIOS A1]]/2</f>
        <v>12</v>
      </c>
      <c r="U12">
        <v>24</v>
      </c>
      <c r="V12" s="9">
        <f>(PI()/4)*(((Tabla1[[#This Row],[A1]])^2))</f>
        <v>113.09733552923255</v>
      </c>
    </row>
    <row r="13" spans="2:22" x14ac:dyDescent="0.35">
      <c r="B13" s="6">
        <f>Tabla1[[#This Row],[medios]]/2</f>
        <v>11</v>
      </c>
      <c r="C13" s="8">
        <v>22</v>
      </c>
      <c r="D13" s="20">
        <f>(PI()/4)*(((Tabla1[[#This Row],[A6]])^2))</f>
        <v>95.033177771091246</v>
      </c>
      <c r="E13" s="6">
        <f>Tabla1[[#This Row],[medios2]]/2</f>
        <v>11.5</v>
      </c>
      <c r="F13" s="8">
        <v>23</v>
      </c>
      <c r="G13" s="26">
        <f>(PI()/4)*(((Tabla1[[#This Row],[B4]])^2))</f>
        <v>103.86890710931253</v>
      </c>
      <c r="H13" s="4"/>
      <c r="I13" s="11"/>
      <c r="J13" s="5">
        <f>(PI()/4)*(((Tabla1[[#This Row],[A4]])^2))</f>
        <v>0</v>
      </c>
      <c r="K13" s="21">
        <f>Tabla1[[#This Row],[A52]]/2</f>
        <v>13</v>
      </c>
      <c r="L13" s="22">
        <v>26</v>
      </c>
      <c r="M13" s="19">
        <f>(PI()/4)*(((Tabla1[[#This Row],[A5]])^2))</f>
        <v>132.73228961416876</v>
      </c>
      <c r="N13">
        <v>26</v>
      </c>
      <c r="P13" s="9">
        <f>(PI()/4)*(((Tabla1[[#This Row],[OTROS]])^2))</f>
        <v>530.92915845667505</v>
      </c>
      <c r="Q13" s="4">
        <f>Tabla1[[#This Row],[MEDIOS33]]/2</f>
        <v>10</v>
      </c>
      <c r="R13" s="11">
        <v>20</v>
      </c>
      <c r="S13" s="19">
        <f>(PI()/4)*(((Tabla1[[#This Row],[B2]])^2))</f>
        <v>78.539816339744831</v>
      </c>
      <c r="T13">
        <v>19</v>
      </c>
      <c r="V13" s="9">
        <f>(PI()/4)*(((Tabla1[[#This Row],[A1]])^2))</f>
        <v>283.5287369864788</v>
      </c>
    </row>
    <row r="14" spans="2:22" x14ac:dyDescent="0.35">
      <c r="B14" s="4">
        <f>Tabla1[[#This Row],[medios]]/2</f>
        <v>10.5</v>
      </c>
      <c r="C14" s="11">
        <v>21</v>
      </c>
      <c r="D14" s="19">
        <f>(PI()/4)*(((Tabla1[[#This Row],[A6]])^2))</f>
        <v>86.59014751456867</v>
      </c>
      <c r="E14" s="4">
        <v>18</v>
      </c>
      <c r="F14" s="11"/>
      <c r="G14" s="25">
        <f>(PI()/4)*(((Tabla1[[#This Row],[B4]])^2))</f>
        <v>254.46900494077323</v>
      </c>
      <c r="H14" s="4"/>
      <c r="I14" s="11"/>
      <c r="J14" s="5">
        <f>(PI()/4)*(((Tabla1[[#This Row],[A4]])^2))</f>
        <v>0</v>
      </c>
      <c r="K14" s="4">
        <v>22</v>
      </c>
      <c r="L14" s="11"/>
      <c r="M14" s="19">
        <f>(PI()/4)*(((Tabla1[[#This Row],[A5]])^2))</f>
        <v>380.13271108436498</v>
      </c>
      <c r="N14" s="12">
        <f>Tabla1[[#This Row],[MEDIOS3]]/2</f>
        <v>9.5</v>
      </c>
      <c r="O14" s="12">
        <v>19</v>
      </c>
      <c r="P14" s="9">
        <f>(PI()/4)*(((Tabla1[[#This Row],[OTROS]])^2))</f>
        <v>70.882184246619701</v>
      </c>
      <c r="Q14" s="4"/>
      <c r="R14" s="11"/>
      <c r="S14" s="5">
        <f>(PI()/4)*(((Tabla1[[#This Row],[B2]])^2))</f>
        <v>0</v>
      </c>
      <c r="T14">
        <v>27</v>
      </c>
      <c r="V14" s="9">
        <f>(PI()/4)*(((Tabla1[[#This Row],[A1]])^2))</f>
        <v>572.55526111673976</v>
      </c>
    </row>
    <row r="15" spans="2:22" x14ac:dyDescent="0.35">
      <c r="B15" s="4">
        <v>18</v>
      </c>
      <c r="C15" s="11"/>
      <c r="D15" s="19">
        <f>(PI()/4)*(((Tabla1[[#This Row],[A6]])^2))</f>
        <v>254.46900494077323</v>
      </c>
      <c r="E15" s="6">
        <f>Tabla1[[#This Row],[medios2]]/2</f>
        <v>12</v>
      </c>
      <c r="F15" s="8">
        <v>24</v>
      </c>
      <c r="G15" s="26">
        <f>(PI()/4)*(((Tabla1[[#This Row],[B4]])^2))</f>
        <v>113.09733552923255</v>
      </c>
      <c r="H15" s="4"/>
      <c r="I15" s="11"/>
      <c r="J15" s="5">
        <f>(PI()/4)*(((Tabla1[[#This Row],[A4]])^2))</f>
        <v>0</v>
      </c>
      <c r="K15" s="4"/>
      <c r="L15" s="11"/>
      <c r="M15" s="5">
        <f>(PI()/4)*(((Tabla1[[#This Row],[A5]])^2))</f>
        <v>0</v>
      </c>
      <c r="N15">
        <v>13</v>
      </c>
      <c r="P15" s="9">
        <f>(PI()/4)*(((Tabla1[[#This Row],[OTROS]])^2))</f>
        <v>132.73228961416876</v>
      </c>
      <c r="Q15" s="4"/>
      <c r="R15" s="11"/>
      <c r="S15" s="5">
        <f>(PI()/4)*(((Tabla1[[#This Row],[B2]])^2))</f>
        <v>0</v>
      </c>
      <c r="T15">
        <f>Tabla1[[#This Row],[MEDIOS A1]]/2</f>
        <v>12.5</v>
      </c>
      <c r="U15">
        <v>25</v>
      </c>
      <c r="V15" s="9">
        <f>(PI()/4)*(((Tabla1[[#This Row],[A1]])^2))</f>
        <v>122.7184630308513</v>
      </c>
    </row>
    <row r="16" spans="2:22" x14ac:dyDescent="0.35">
      <c r="B16" s="4"/>
      <c r="C16" s="11"/>
      <c r="D16" s="19">
        <f>(PI()/4)*(((Tabla1[[#This Row],[A6]])^2))</f>
        <v>0</v>
      </c>
      <c r="E16" s="6">
        <f>Tabla1[[#This Row],[medios2]]/2</f>
        <v>11.5</v>
      </c>
      <c r="F16" s="8">
        <v>23</v>
      </c>
      <c r="G16" s="26">
        <f>(PI()/4)*(((Tabla1[[#This Row],[B4]])^2))</f>
        <v>103.86890710931253</v>
      </c>
      <c r="H16" s="4"/>
      <c r="I16" s="11"/>
      <c r="J16" s="5">
        <f>(PI()/4)*(((Tabla1[[#This Row],[A4]])^2))</f>
        <v>0</v>
      </c>
      <c r="K16" s="4"/>
      <c r="L16" s="11"/>
      <c r="M16" s="5">
        <f>(PI()/4)*(((Tabla1[[#This Row],[A5]])^2))</f>
        <v>0</v>
      </c>
      <c r="N16">
        <v>15</v>
      </c>
      <c r="P16" s="9">
        <f>(PI()/4)*(((Tabla1[[#This Row],[OTROS]])^2))</f>
        <v>176.71458676442586</v>
      </c>
      <c r="Q16" s="4"/>
      <c r="R16" s="11"/>
      <c r="S16" s="5">
        <f>(PI()/4)*(((Tabla1[[#This Row],[B2]])^2))</f>
        <v>0</v>
      </c>
      <c r="V16">
        <f>(PI()/4)*(((Tabla1[[#This Row],[A1]])^2))</f>
        <v>0</v>
      </c>
    </row>
    <row r="17" spans="1:22" ht="15" thickBot="1" x14ac:dyDescent="0.4">
      <c r="B17" s="15"/>
      <c r="C17" s="16"/>
      <c r="D17" s="23">
        <f>(PI()/4)*(((Tabla1[[#This Row],[A6]])^2))</f>
        <v>0</v>
      </c>
      <c r="E17" s="7">
        <f>Tabla1[[#This Row],[medios2]]/2</f>
        <v>12</v>
      </c>
      <c r="F17" s="14">
        <v>24</v>
      </c>
      <c r="G17" s="27">
        <f>(PI()/4)*(((Tabla1[[#This Row],[B4]])^2))</f>
        <v>113.09733552923255</v>
      </c>
      <c r="H17" s="15"/>
      <c r="I17" s="16"/>
      <c r="J17" s="17">
        <f>(PI()/4)*(((Tabla1[[#This Row],[A4]])^2))</f>
        <v>0</v>
      </c>
      <c r="K17" s="15"/>
      <c r="L17" s="16"/>
      <c r="M17" s="17">
        <f>(PI()/4)*(((Tabla1[[#This Row],[A5]])^2))</f>
        <v>0</v>
      </c>
      <c r="N17">
        <v>6</v>
      </c>
      <c r="P17" s="9">
        <f>(PI()/4)*(((Tabla1[[#This Row],[OTROS]])^2))</f>
        <v>28.274333882308138</v>
      </c>
      <c r="Q17" s="15"/>
      <c r="R17" s="16"/>
      <c r="S17" s="17">
        <f>(PI()/4)*(((Tabla1[[#This Row],[B2]])^2))</f>
        <v>0</v>
      </c>
      <c r="V17">
        <f>(PI()/4)*(((Tabla1[[#This Row],[A1]])^2))</f>
        <v>0</v>
      </c>
    </row>
    <row r="18" spans="1:22" x14ac:dyDescent="0.35">
      <c r="B18" s="4" t="s">
        <v>7</v>
      </c>
      <c r="D18" s="10">
        <f>SUBTOTAL(109,Tabla1[Superficie A6])</f>
        <v>3569.4873904857654</v>
      </c>
      <c r="E18" s="6"/>
      <c r="F18" s="1"/>
      <c r="G18" s="10">
        <f>SUBTOTAL(109,Tabla1[Superficie B4])</f>
        <v>4603.8076842949922</v>
      </c>
      <c r="H18" s="4"/>
      <c r="J18" s="19">
        <f>SUBTOTAL(109,Tabla1[Superficie])</f>
        <v>3024.2247155470868</v>
      </c>
      <c r="K18" s="4"/>
      <c r="M18" s="19">
        <f>SUBTOTAL(109,Tabla1[Superficie2])</f>
        <v>3465.5693959912405</v>
      </c>
      <c r="P18" s="10">
        <f>SUBTOTAL(109,Tabla1[SuperficieOTROS])</f>
        <v>3734.568266954866</v>
      </c>
      <c r="S18" s="9">
        <f>SUBTOTAL(109,Tabla1[SuperficieB2])</f>
        <v>4012.5992167975628</v>
      </c>
      <c r="V18" s="10">
        <f>SUBTOTAL(109,Tabla1[Superficie A1])</f>
        <v>3593.5892966250249</v>
      </c>
    </row>
    <row r="19" spans="1:22" x14ac:dyDescent="0.35">
      <c r="D19" s="9">
        <f>Tabla1[[#Totals],[Superficie A6]]/10000</f>
        <v>0.35694873904857655</v>
      </c>
      <c r="G19" s="9">
        <f>Tabla1[[#Totals],[Superficie B4]]/10000</f>
        <v>0.46038076842949921</v>
      </c>
      <c r="J19" s="9">
        <f>Tabla1[[#Totals],[Superficie]]/10000</f>
        <v>0.30242247155470869</v>
      </c>
      <c r="M19" s="9">
        <f>Tabla1[[#Totals],[Superficie2]]/10000</f>
        <v>0.34655693959912404</v>
      </c>
      <c r="P19" s="9">
        <f>Tabla1[[#Totals],[SuperficieOTROS]]/10000</f>
        <v>0.37345682669548658</v>
      </c>
      <c r="S19" s="9">
        <f>Tabla1[[#Totals],[SuperficieB2]]/10000</f>
        <v>0.40125992167975627</v>
      </c>
      <c r="V19" s="9">
        <f>Tabla1[[#Totals],[Superficie A1]]/10000</f>
        <v>0.35935892966250249</v>
      </c>
    </row>
    <row r="20" spans="1:22" ht="21" x14ac:dyDescent="0.5">
      <c r="A20" t="s">
        <v>3</v>
      </c>
      <c r="B20" s="51">
        <f>(D19+G19+J19+M19+P19+S19+V19)/7</f>
        <v>0.37148351380995054</v>
      </c>
      <c r="C20" s="9" t="s">
        <v>62</v>
      </c>
      <c r="D20" s="9"/>
      <c r="E20" s="9"/>
      <c r="F20" s="9"/>
      <c r="G20" s="9"/>
      <c r="H20" s="9"/>
      <c r="I20" s="9"/>
      <c r="J20" s="9"/>
      <c r="K20" s="9"/>
      <c r="L20" s="9"/>
      <c r="M20" s="9"/>
    </row>
    <row r="23" spans="1:22" x14ac:dyDescent="0.35">
      <c r="A23" t="s">
        <v>9</v>
      </c>
      <c r="B23">
        <v>10000</v>
      </c>
    </row>
    <row r="24" spans="1:22" x14ac:dyDescent="0.35">
      <c r="A24" t="s">
        <v>11</v>
      </c>
      <c r="B24" t="s">
        <v>10</v>
      </c>
    </row>
    <row r="25" spans="1:22" x14ac:dyDescent="0.35">
      <c r="A25" t="s">
        <v>13</v>
      </c>
      <c r="B25" t="s">
        <v>12</v>
      </c>
    </row>
    <row r="26" spans="1:22" x14ac:dyDescent="0.35">
      <c r="A26" t="s">
        <v>15</v>
      </c>
      <c r="B26" t="s">
        <v>14</v>
      </c>
    </row>
    <row r="27" spans="1:22" x14ac:dyDescent="0.35">
      <c r="A27" t="s">
        <v>17</v>
      </c>
      <c r="B27" t="s">
        <v>16</v>
      </c>
    </row>
    <row r="28" spans="1:22" x14ac:dyDescent="0.35">
      <c r="B28" t="s">
        <v>18</v>
      </c>
    </row>
    <row r="30" spans="1:22" ht="15" thickBot="1" x14ac:dyDescent="0.4">
      <c r="B30" s="28" t="s">
        <v>33</v>
      </c>
      <c r="C30" s="29" t="s">
        <v>30</v>
      </c>
      <c r="D30" s="29" t="s">
        <v>34</v>
      </c>
      <c r="E30" s="28" t="s">
        <v>35</v>
      </c>
      <c r="F30" s="29" t="s">
        <v>1</v>
      </c>
      <c r="G30" s="30" t="s">
        <v>2</v>
      </c>
      <c r="H30" s="28" t="s">
        <v>0</v>
      </c>
      <c r="I30" s="28" t="s">
        <v>36</v>
      </c>
      <c r="J30" s="28" t="s">
        <v>63</v>
      </c>
    </row>
    <row r="31" spans="1:22" ht="15" thickBot="1" x14ac:dyDescent="0.4">
      <c r="B31" s="32" t="s">
        <v>37</v>
      </c>
      <c r="C31" s="60">
        <v>940</v>
      </c>
      <c r="D31" s="60">
        <v>593</v>
      </c>
      <c r="E31" s="61">
        <f>346+251</f>
        <v>597</v>
      </c>
      <c r="F31" s="62">
        <f>462+129</f>
        <v>591</v>
      </c>
      <c r="G31" s="63">
        <f>470+112</f>
        <v>582</v>
      </c>
      <c r="H31" s="61">
        <f>403+117+88</f>
        <v>608</v>
      </c>
      <c r="I31" s="64">
        <f>SUM(Tabla13[[#This Row],[A1]:[A6]])</f>
        <v>3911</v>
      </c>
      <c r="J31" s="64">
        <f>Tabla13[[#This Row],[A6]]+Tabla13[[#This Row],[A5]]+Tabla13[[#This Row],[A4]]+Tabla13[[#This Row],[A3]]+Tabla13[[#This Row],[A2]]+Tabla13[[#This Row],[A1]]</f>
        <v>3911</v>
      </c>
    </row>
    <row r="32" spans="1:22" ht="29" x14ac:dyDescent="0.35">
      <c r="B32" s="65" t="s">
        <v>38</v>
      </c>
      <c r="C32" s="31" t="s">
        <v>39</v>
      </c>
      <c r="D32" s="31" t="s">
        <v>40</v>
      </c>
      <c r="E32" s="32" t="s">
        <v>41</v>
      </c>
      <c r="F32" s="31" t="s">
        <v>42</v>
      </c>
      <c r="G32" s="32" t="s">
        <v>42</v>
      </c>
      <c r="H32" s="33" t="s">
        <v>43</v>
      </c>
      <c r="I32" s="54">
        <f>SUM(Tabla13[[#This Row],[A1]:[A6]])</f>
        <v>0</v>
      </c>
      <c r="J32" s="54"/>
    </row>
    <row r="33" spans="2:12" ht="15" thickBot="1" x14ac:dyDescent="0.4">
      <c r="B33" s="66"/>
      <c r="C33" s="29" t="s">
        <v>44</v>
      </c>
      <c r="D33" s="29"/>
      <c r="E33" s="28"/>
      <c r="F33" s="29"/>
      <c r="G33" s="28"/>
      <c r="H33" s="36"/>
      <c r="I33" s="67">
        <f>SUM(Tabla13[[#This Row],[A1]:[A6]])</f>
        <v>0</v>
      </c>
      <c r="J33" s="67"/>
    </row>
    <row r="34" spans="2:12" ht="29.5" thickBot="1" x14ac:dyDescent="0.4">
      <c r="B34" s="35" t="s">
        <v>59</v>
      </c>
      <c r="C34" s="37">
        <f>(10.5*9.5*3)+(21.8*9.5*3)</f>
        <v>920.55</v>
      </c>
      <c r="D34" s="37">
        <f>40*2.5*8</f>
        <v>800</v>
      </c>
      <c r="E34" s="38">
        <f>3.3*17.5*8.5</f>
        <v>490.875</v>
      </c>
      <c r="F34" s="37">
        <f>19.5*3*8</f>
        <v>468</v>
      </c>
      <c r="G34" s="38">
        <f>19.5*3*8</f>
        <v>468</v>
      </c>
      <c r="H34" s="39">
        <f>9*2.7*13</f>
        <v>315.90000000000003</v>
      </c>
      <c r="I34" s="34">
        <f>SUM(Tabla13[[#This Row],[A1]:[A6]])</f>
        <v>3463.3250000000003</v>
      </c>
      <c r="J34" s="34">
        <f>Tabla13[[#This Row],[A6]]+Tabla13[[#This Row],[A5]]+Tabla13[[#This Row],[A4]]+Tabla13[[#This Row],[A3]]+Tabla13[[#This Row],[A2]]+Tabla13[[#This Row],[A1]]</f>
        <v>3463.3249999999998</v>
      </c>
    </row>
    <row r="35" spans="2:12" ht="15" thickBot="1" x14ac:dyDescent="0.4">
      <c r="B35" s="57" t="s">
        <v>60</v>
      </c>
      <c r="C35" s="58">
        <f>C34*$B$20</f>
        <v>341.96914863774992</v>
      </c>
      <c r="D35" s="58">
        <f>D34*B20</f>
        <v>297.18681104796042</v>
      </c>
      <c r="E35" s="59">
        <f>E34*B20</f>
        <v>182.35196984145946</v>
      </c>
      <c r="F35" s="59">
        <f>F34*B20</f>
        <v>173.85428446305684</v>
      </c>
      <c r="G35" s="59">
        <f>G34*B20</f>
        <v>173.85428446305684</v>
      </c>
      <c r="H35" s="59">
        <f>H34*B20</f>
        <v>117.35164201256339</v>
      </c>
      <c r="I35" s="40">
        <f>I34*B20</f>
        <v>1286.5681404658471</v>
      </c>
      <c r="J35" s="40">
        <f>Tabla13[[#This Row],[A6]]+Tabla13[[#This Row],[A5]]+Tabla13[[#This Row],[A4]]+Tabla13[[#This Row],[A3]]+Tabla13[[#This Row],[A2]]+Tabla13[[#This Row],[A1]]</f>
        <v>1286.5681404658469</v>
      </c>
    </row>
    <row r="36" spans="2:12" ht="15" thickBot="1" x14ac:dyDescent="0.4">
      <c r="B36" s="55" t="s">
        <v>45</v>
      </c>
      <c r="C36" s="56">
        <v>115</v>
      </c>
      <c r="D36" s="56">
        <v>60</v>
      </c>
      <c r="E36" s="56">
        <v>60</v>
      </c>
      <c r="F36" s="56">
        <v>70</v>
      </c>
      <c r="G36" s="56">
        <v>70</v>
      </c>
      <c r="H36" s="56">
        <v>60</v>
      </c>
      <c r="I36" s="56"/>
      <c r="J36" s="56">
        <f>Tabla13[[#This Row],[A6]]+Tabla13[[#This Row],[A5]]+Tabla13[[#This Row],[A4]]+Tabla13[[#This Row],[A3]]+Tabla13[[#This Row],[A2]]+Tabla13[[#This Row],[A1]]</f>
        <v>435</v>
      </c>
    </row>
    <row r="37" spans="2:12" ht="15" thickBot="1" x14ac:dyDescent="0.4">
      <c r="B37" t="s">
        <v>64</v>
      </c>
      <c r="C37" s="76">
        <v>137.30000000000001</v>
      </c>
      <c r="D37" s="76">
        <v>71.63</v>
      </c>
      <c r="E37" s="76">
        <v>71.63</v>
      </c>
      <c r="F37" s="76">
        <v>83.56</v>
      </c>
      <c r="G37" s="76">
        <v>83.56</v>
      </c>
      <c r="H37" s="76">
        <v>71.63</v>
      </c>
      <c r="I37" s="52"/>
      <c r="J37" s="52">
        <f>Tabla13[[#This Row],[A6]]+Tabla13[[#This Row],[A5]]+Tabla13[[#This Row],[A4]]+Tabla13[[#This Row],[A3]]+Tabla13[[#This Row],[A2]]+Tabla13[[#This Row],[A1]]</f>
        <v>519.30999999999995</v>
      </c>
    </row>
    <row r="38" spans="2:12" x14ac:dyDescent="0.35">
      <c r="C38" s="50"/>
      <c r="D38" s="31"/>
      <c r="I38" s="52"/>
    </row>
    <row r="39" spans="2:12" ht="15" thickBot="1" x14ac:dyDescent="0.4">
      <c r="B39" s="30" t="s">
        <v>33</v>
      </c>
      <c r="C39" s="41" t="s">
        <v>46</v>
      </c>
      <c r="D39" s="41" t="s">
        <v>27</v>
      </c>
      <c r="E39" s="41" t="s">
        <v>47</v>
      </c>
      <c r="F39" s="41" t="s">
        <v>4</v>
      </c>
      <c r="G39" s="41" t="s">
        <v>48</v>
      </c>
      <c r="H39" s="42" t="s">
        <v>49</v>
      </c>
      <c r="I39" s="42" t="s">
        <v>50</v>
      </c>
      <c r="J39" s="71" t="s">
        <v>63</v>
      </c>
    </row>
    <row r="40" spans="2:12" ht="15" thickBot="1" x14ac:dyDescent="0.4">
      <c r="B40" s="43" t="s">
        <v>37</v>
      </c>
      <c r="C40" s="68">
        <v>347</v>
      </c>
      <c r="D40" s="68">
        <f>279+109</f>
        <v>388</v>
      </c>
      <c r="E40" s="68">
        <v>431</v>
      </c>
      <c r="F40" s="68">
        <v>347</v>
      </c>
      <c r="G40" s="68">
        <f>241+101</f>
        <v>342</v>
      </c>
      <c r="H40" s="69">
        <f>349+68</f>
        <v>417</v>
      </c>
      <c r="I40" s="44">
        <f>Tabla3[[#This Row],[B1]]+Tabla3[[#This Row],[B2]]+Tabla3[[#This Row],[B3]]+Tabla3[[#This Row],[B4]]+Tabla3[[#This Row],[B5]]+Tabla3[[#This Row],[B6]]</f>
        <v>2272</v>
      </c>
      <c r="J40" s="79">
        <f>Tabla3[[#This Row],[B6]]+Tabla3[[#This Row],[B5]]+Tabla3[[#This Row],[B4]]+Tabla3[[#This Row],[B3]]+Tabla3[[#This Row],[B2]]</f>
        <v>1925</v>
      </c>
    </row>
    <row r="41" spans="2:12" ht="73" thickBot="1" x14ac:dyDescent="0.4">
      <c r="B41" s="78" t="s">
        <v>38</v>
      </c>
      <c r="C41" s="75" t="s">
        <v>51</v>
      </c>
      <c r="D41" s="75" t="s">
        <v>52</v>
      </c>
      <c r="E41" s="74" t="s">
        <v>53</v>
      </c>
      <c r="F41" s="74" t="s">
        <v>54</v>
      </c>
      <c r="G41" s="74" t="s">
        <v>55</v>
      </c>
      <c r="H41" s="55" t="s">
        <v>56</v>
      </c>
      <c r="I41" s="48"/>
      <c r="J41" s="80"/>
    </row>
    <row r="42" spans="2:12" ht="15" thickBot="1" x14ac:dyDescent="0.4">
      <c r="B42" s="70"/>
      <c r="C42" s="83"/>
      <c r="D42" s="83" t="s">
        <v>57</v>
      </c>
      <c r="E42" s="70"/>
      <c r="F42" s="70"/>
      <c r="G42" s="70"/>
      <c r="H42" s="84"/>
      <c r="I42" s="85"/>
      <c r="J42" s="79"/>
    </row>
    <row r="43" spans="2:12" ht="29.5" thickBot="1" x14ac:dyDescent="0.4">
      <c r="B43" s="58" t="s">
        <v>61</v>
      </c>
      <c r="C43" s="45">
        <f>14*8*3</f>
        <v>336</v>
      </c>
      <c r="D43" s="46">
        <v>236.60999999999999</v>
      </c>
      <c r="E43" s="47">
        <f>15*3*8</f>
        <v>360</v>
      </c>
      <c r="F43" s="47">
        <f>12*2.9*8.4</f>
        <v>292.32</v>
      </c>
      <c r="G43" s="47">
        <f>15*3*8</f>
        <v>360</v>
      </c>
      <c r="H43" s="47">
        <f>3.7*0.7*7.8+3.2*1.2*7.5+15*2.2*7.5</f>
        <v>296.50200000000001</v>
      </c>
      <c r="I43" s="86">
        <f>Tabla3[[#This Row],[B1]]+Tabla3[[#This Row],[B2]]+Tabla3[[#This Row],[B3]]+Tabla3[[#This Row],[B4]]+Tabla3[[#This Row],[B5]]+Tabla3[[#This Row],[B6]]</f>
        <v>1881.432</v>
      </c>
      <c r="J43" s="82">
        <f>Tabla3[[#This Row],[B6]]+Tabla3[[#This Row],[B5]]+Tabla3[[#This Row],[B4]]+Tabla3[[#This Row],[B3]]+Tabla3[[#This Row],[B2]]</f>
        <v>1545.4319999999998</v>
      </c>
    </row>
    <row r="44" spans="2:12" ht="15" thickBot="1" x14ac:dyDescent="0.4">
      <c r="B44" s="72" t="s">
        <v>60</v>
      </c>
      <c r="C44" s="73">
        <f>C43*B20</f>
        <v>124.81846064014339</v>
      </c>
      <c r="D44" s="87">
        <f>D43*B20</f>
        <v>87.896714202572397</v>
      </c>
      <c r="E44" s="73">
        <f>E43*B20</f>
        <v>133.7340649715822</v>
      </c>
      <c r="F44" s="73">
        <f>F43*B20</f>
        <v>108.59206075692474</v>
      </c>
      <c r="G44" s="73">
        <f>G43*B20</f>
        <v>133.7340649715822</v>
      </c>
      <c r="H44" s="73">
        <f>H43*B20</f>
        <v>110.14560481167796</v>
      </c>
      <c r="I44" s="88">
        <f>Tabla3[[#This Row],[B1]]+Tabla3[[#This Row],[B2]]+Tabla3[[#This Row],[B3]]+Tabla3[[#This Row],[B4]]+Tabla3[[#This Row],[B5]]+Tabla3[[#This Row],[B6]]</f>
        <v>698.92097035448285</v>
      </c>
      <c r="J44" s="79">
        <f>Tabla3[[#This Row],[B6]]+Tabla3[[#This Row],[B5]]+Tabla3[[#This Row],[B4]]+Tabla3[[#This Row],[B3]]+Tabla3[[#This Row],[B2]]</f>
        <v>574.10250971433948</v>
      </c>
    </row>
    <row r="45" spans="2:12" ht="15" thickBot="1" x14ac:dyDescent="0.4">
      <c r="B45" s="74" t="s">
        <v>45</v>
      </c>
      <c r="C45" s="89">
        <v>40</v>
      </c>
      <c r="D45" s="89">
        <v>35</v>
      </c>
      <c r="E45" s="89">
        <v>30</v>
      </c>
      <c r="F45" s="89">
        <v>30</v>
      </c>
      <c r="G45" s="89">
        <v>40</v>
      </c>
      <c r="H45" s="90">
        <v>30</v>
      </c>
      <c r="I45" s="86"/>
      <c r="J45" s="80">
        <f>C45+D45+E45+F45+G45+H45</f>
        <v>205</v>
      </c>
      <c r="L45" s="50"/>
    </row>
    <row r="46" spans="2:12" ht="15" thickBot="1" x14ac:dyDescent="0.4">
      <c r="B46" s="77"/>
      <c r="C46" s="91">
        <v>47.73</v>
      </c>
      <c r="D46" s="91">
        <v>41.73</v>
      </c>
      <c r="E46" s="91">
        <v>35.82</v>
      </c>
      <c r="F46" s="91">
        <v>35.82</v>
      </c>
      <c r="G46" s="91">
        <v>47.73</v>
      </c>
      <c r="H46" s="92">
        <v>35.82</v>
      </c>
      <c r="I46" s="93"/>
      <c r="J46" s="81">
        <f>SUM(B46:I46)</f>
        <v>244.64999999999998</v>
      </c>
    </row>
    <row r="47" spans="2:12" ht="15" thickBot="1" x14ac:dyDescent="0.4">
      <c r="L47" s="50"/>
    </row>
    <row r="48" spans="2:12" ht="15" thickBot="1" x14ac:dyDescent="0.4">
      <c r="B48" s="94" t="s">
        <v>58</v>
      </c>
      <c r="C48" s="95"/>
      <c r="D48" s="95"/>
      <c r="E48" s="96"/>
      <c r="F48" s="97"/>
      <c r="I48" s="50"/>
      <c r="J48" s="53"/>
    </row>
    <row r="49" spans="2:9" ht="44" thickBot="1" x14ac:dyDescent="0.4">
      <c r="B49" s="102" t="s">
        <v>37</v>
      </c>
      <c r="C49" s="103" t="s">
        <v>61</v>
      </c>
      <c r="D49" s="104" t="s">
        <v>60</v>
      </c>
      <c r="E49" s="104" t="s">
        <v>45</v>
      </c>
      <c r="F49" s="105" t="s">
        <v>65</v>
      </c>
      <c r="G49" s="105" t="s">
        <v>66</v>
      </c>
      <c r="H49" s="105" t="s">
        <v>67</v>
      </c>
      <c r="I49" s="50"/>
    </row>
    <row r="50" spans="2:9" ht="15" thickBot="1" x14ac:dyDescent="0.4">
      <c r="B50" s="98">
        <f>I31+I40</f>
        <v>6183</v>
      </c>
      <c r="C50" s="99">
        <f>I34+I43</f>
        <v>5344.7570000000005</v>
      </c>
      <c r="D50" s="100">
        <f>I35+I44</f>
        <v>1985.4891108203301</v>
      </c>
      <c r="E50" s="101">
        <f>J36+J45</f>
        <v>640</v>
      </c>
      <c r="F50" s="101">
        <f>J37+J46</f>
        <v>763.95999999999992</v>
      </c>
      <c r="G50" s="101">
        <v>35.555555555555557</v>
      </c>
      <c r="H50" s="101">
        <f>F50/18</f>
        <v>42.44222222222222</v>
      </c>
    </row>
    <row r="51" spans="2:9" x14ac:dyDescent="0.35">
      <c r="B51" s="49"/>
      <c r="E51" s="50"/>
      <c r="F51" s="50"/>
      <c r="H51" s="50"/>
    </row>
    <row r="52" spans="2:9" ht="15" thickBot="1" x14ac:dyDescent="0.4">
      <c r="D52" s="50"/>
      <c r="G52" s="50"/>
    </row>
    <row r="53" spans="2:9" ht="38" thickBot="1" x14ac:dyDescent="0.4">
      <c r="B53" s="110" t="s">
        <v>68</v>
      </c>
      <c r="C53" s="111" t="s">
        <v>69</v>
      </c>
      <c r="D53" s="109"/>
      <c r="E53" s="107"/>
      <c r="F53" s="106" t="s">
        <v>70</v>
      </c>
      <c r="G53" s="108" t="s">
        <v>71</v>
      </c>
    </row>
  </sheetData>
  <mergeCells count="1">
    <mergeCell ref="B48:E48"/>
  </mergeCells>
  <pageMargins left="0.7" right="0.7" top="0.75" bottom="0.75" header="0.3" footer="0.3"/>
  <pageSetup paperSize="8" scale="85"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coef apilado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2021-08-25T08:29:56Z</dcterms:modified>
</cp:coreProperties>
</file>