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slicers/slicer3.xml" ContentType="application/vnd.ms-excel.slicer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slicers/slicer4.xml" ContentType="application/vnd.ms-excel.slicer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slicers/slicer5.xml" ContentType="application/vnd.ms-excel.slicer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slicers/slicer6.xml" ContentType="application/vnd.ms-excel.slicer+xml"/>
  <Override PartName="/xl/drawings/drawing7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slicers/slicer7.xml" ContentType="application/vnd.ms-excel.slicer+xml"/>
  <Override PartName="/xl/drawings/drawing8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slicers/slicer8.xml" ContentType="application/vnd.ms-excel.slicer+xml"/>
  <Override PartName="/xl/drawings/drawing9.xml" ContentType="application/vnd.openxmlformats-officedocument.drawing+xml"/>
  <Override PartName="/xl/tables/table18.xml" ContentType="application/vnd.openxmlformats-officedocument.spreadsheetml.table+xml"/>
  <Override PartName="/xl/slicers/slicer9.xml" ContentType="application/vnd.ms-excel.slicer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slicers/slicer10.xml" ContentType="application/vnd.ms-excel.slicer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slicers/slicer11.xml" ContentType="application/vnd.ms-excel.slicer+xml"/>
  <Override PartName="/xl/drawings/drawing12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slicers/slicer12.xml" ContentType="application/vnd.ms-excel.slicer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slicers/slicer13.xml" ContentType="application/vnd.ms-excel.slicer+xml"/>
  <Override PartName="/xl/drawings/drawing14.xml" ContentType="application/vnd.openxmlformats-officedocument.drawing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slicers/slicer14.xml" ContentType="application/vnd.ms-excel.slicer+xml"/>
  <Override PartName="/xl/drawings/drawing15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slicers/slicer15.xml" ContentType="application/vnd.ms-excel.slicer+xml"/>
  <Override PartName="/xl/drawings/drawing16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slicers/slicer16.xml" ContentType="application/vnd.ms-excel.slicer+xml"/>
  <Override PartName="/xl/drawings/drawing17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slicers/slicer17.xml" ContentType="application/vnd.ms-excel.slicer+xml"/>
  <Override PartName="/xl/drawings/drawing18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slicers/slicer18.xml" ContentType="application/vnd.ms-excel.slicer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 firstSheet="1" activeTab="12"/>
  </bookViews>
  <sheets>
    <sheet name="totales1" sheetId="26" r:id="rId1"/>
    <sheet name="A1" sheetId="3" r:id="rId2"/>
    <sheet name="A2" sheetId="10" r:id="rId3"/>
    <sheet name="A3" sheetId="9" r:id="rId4"/>
    <sheet name="A4" sheetId="20" r:id="rId5"/>
    <sheet name="A5" sheetId="18" r:id="rId6"/>
    <sheet name="A6" sheetId="16" r:id="rId7"/>
    <sheet name="B1" sheetId="4" r:id="rId8"/>
    <sheet name="B2" sheetId="11" r:id="rId9"/>
    <sheet name="B3" sheetId="2" r:id="rId10"/>
    <sheet name="B4" sheetId="17" r:id="rId11"/>
    <sheet name="B5" sheetId="14" r:id="rId12"/>
    <sheet name="B6" sheetId="21" r:id="rId13"/>
    <sheet name="C1" sheetId="1" r:id="rId14"/>
    <sheet name="C2" sheetId="8" r:id="rId15"/>
    <sheet name="C3" sheetId="13" r:id="rId16"/>
    <sheet name="C4" sheetId="19" r:id="rId17"/>
    <sheet name="C5" sheetId="5" r:id="rId18"/>
    <sheet name="C6" sheetId="22" r:id="rId19"/>
    <sheet name="totales" sheetId="15" r:id="rId20"/>
    <sheet name="Sheet1" sheetId="23" r:id="rId21"/>
  </sheets>
  <externalReferences>
    <externalReference r:id="rId22"/>
  </externalReferences>
  <definedNames>
    <definedName name="_xlnm._FilterDatabase" localSheetId="1" hidden="1">'A1'!$A$1:$M$65</definedName>
    <definedName name="_xlnm._FilterDatabase" localSheetId="2" hidden="1">'A2'!$A$1:$K$70</definedName>
    <definedName name="_xlnm._FilterDatabase" localSheetId="3" hidden="1">'A3'!$A$1:$K$72</definedName>
    <definedName name="_xlnm._FilterDatabase" localSheetId="4" hidden="1">'A4'!$A$1:$K$63</definedName>
    <definedName name="_xlnm._FilterDatabase" localSheetId="5" hidden="1">'A5'!$A$1:$K$74</definedName>
    <definedName name="_xlnm._FilterDatabase" localSheetId="6" hidden="1">'A6'!$A$1:$M$45</definedName>
    <definedName name="_xlnm._FilterDatabase" localSheetId="7" hidden="1">'B1'!$A$1:$M$44</definedName>
    <definedName name="_xlnm._FilterDatabase" localSheetId="8" hidden="1">'B2'!$A$1:$J$70</definedName>
    <definedName name="_xlnm._FilterDatabase" localSheetId="9" hidden="1">'B3'!$A$1:$M$56</definedName>
    <definedName name="_xlnm._FilterDatabase" localSheetId="10" hidden="1">'B4'!$A$1:$M$55</definedName>
    <definedName name="_xlnm._FilterDatabase" localSheetId="11" hidden="1">'B5'!$A$1:$K$70</definedName>
    <definedName name="_xlnm._FilterDatabase" localSheetId="12" hidden="1">'B6'!$A$1:$K$51</definedName>
    <definedName name="_xlnm._FilterDatabase" localSheetId="13" hidden="1">'C1'!$A$1:$M$34</definedName>
    <definedName name="_xlnm._FilterDatabase" localSheetId="14" hidden="1">'C2'!$A$1:$J$49</definedName>
    <definedName name="_xlnm._FilterDatabase" localSheetId="15" hidden="1">'C3'!$A$1:$J$61</definedName>
    <definedName name="_xlnm._FilterDatabase" localSheetId="16" hidden="1">'C4'!$A$1:$J$61</definedName>
    <definedName name="_xlnm._FilterDatabase" localSheetId="17" hidden="1">'C5'!$A$1:$J$35</definedName>
    <definedName name="_xlnm._FilterDatabase" localSheetId="18" hidden="1">'C6'!$A$1:$J$57</definedName>
    <definedName name="_xlnm._FilterDatabase" localSheetId="0" hidden="1">totales1!#REF!</definedName>
    <definedName name="_xlnm.Database">#REF!</definedName>
    <definedName name="SegmentaciónDeDatos_especie">#N/A</definedName>
    <definedName name="SegmentaciónDeDatos_especie1">#N/A</definedName>
    <definedName name="SegmentaciónDeDatos_especie10">#N/A</definedName>
    <definedName name="SegmentaciónDeDatos_especie11">#N/A</definedName>
    <definedName name="SegmentaciónDeDatos_especie12">#N/A</definedName>
    <definedName name="SegmentaciónDeDatos_especie13">#N/A</definedName>
    <definedName name="SegmentaciónDeDatos_especie14">#N/A</definedName>
    <definedName name="SegmentaciónDeDatos_especie15">#N/A</definedName>
    <definedName name="SegmentaciónDeDatos_especie16">#N/A</definedName>
    <definedName name="SegmentaciónDeDatos_especie17">#N/A</definedName>
    <definedName name="SegmentaciónDeDatos_especie2">#N/A</definedName>
    <definedName name="SegmentaciónDeDatos_especie3">#N/A</definedName>
    <definedName name="SegmentaciónDeDatos_especie4">#N/A</definedName>
    <definedName name="SegmentaciónDeDatos_especie5">#N/A</definedName>
    <definedName name="SegmentaciónDeDatos_especie6">#N/A</definedName>
    <definedName name="SegmentaciónDeDatos_especie7">#N/A</definedName>
    <definedName name="SegmentaciónDeDatos_especie8">#N/A</definedName>
    <definedName name="SegmentaciónDeDatos_especie9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5" l="1"/>
  <c r="B108" i="5"/>
  <c r="B107" i="5"/>
  <c r="B106" i="5"/>
  <c r="B105" i="5"/>
  <c r="B104" i="5"/>
  <c r="B103" i="5"/>
  <c r="B102" i="5"/>
  <c r="B101" i="5"/>
  <c r="B107" i="8"/>
  <c r="B106" i="8"/>
  <c r="B105" i="8"/>
  <c r="B104" i="8"/>
  <c r="B103" i="8"/>
  <c r="B102" i="8"/>
  <c r="B101" i="8"/>
  <c r="B100" i="8"/>
  <c r="C108" i="8"/>
  <c r="E109" i="1"/>
  <c r="B108" i="1"/>
  <c r="B107" i="1"/>
  <c r="B106" i="1"/>
  <c r="B105" i="1"/>
  <c r="B104" i="1"/>
  <c r="B103" i="1"/>
  <c r="B102" i="1"/>
  <c r="B101" i="1"/>
  <c r="B61" i="21"/>
  <c r="B108" i="21"/>
  <c r="B107" i="21"/>
  <c r="B106" i="21"/>
  <c r="B105" i="21"/>
  <c r="B104" i="21"/>
  <c r="B103" i="21"/>
  <c r="B102" i="21"/>
  <c r="B101" i="21"/>
  <c r="B106" i="14"/>
  <c r="B108" i="14"/>
  <c r="B107" i="14"/>
  <c r="B105" i="14"/>
  <c r="B104" i="14"/>
  <c r="B103" i="14"/>
  <c r="B101" i="14"/>
  <c r="B102" i="14"/>
  <c r="B108" i="17"/>
  <c r="B107" i="17"/>
  <c r="B106" i="17"/>
  <c r="B105" i="17"/>
  <c r="B104" i="17"/>
  <c r="B102" i="17"/>
  <c r="B103" i="17"/>
  <c r="B101" i="17"/>
  <c r="E109" i="2"/>
  <c r="B107" i="2"/>
  <c r="B106" i="2"/>
  <c r="B105" i="2"/>
  <c r="B104" i="2"/>
  <c r="B103" i="2"/>
  <c r="B102" i="2"/>
  <c r="B101" i="2"/>
  <c r="B108" i="2"/>
  <c r="B108" i="18"/>
  <c r="B107" i="18"/>
  <c r="B106" i="18"/>
  <c r="B105" i="18"/>
  <c r="B104" i="18"/>
  <c r="B103" i="18"/>
  <c r="B102" i="18"/>
  <c r="B101" i="18"/>
  <c r="J65" i="3" l="1"/>
  <c r="B99" i="3"/>
  <c r="B106" i="3"/>
  <c r="B105" i="3"/>
  <c r="B104" i="3"/>
  <c r="B103" i="3"/>
  <c r="B102" i="3"/>
  <c r="B101" i="3"/>
  <c r="B100" i="3"/>
  <c r="B67" i="22"/>
  <c r="B45" i="5"/>
  <c r="B71" i="19"/>
  <c r="B71" i="13"/>
  <c r="B59" i="8"/>
  <c r="B46" i="1"/>
  <c r="B80" i="14"/>
  <c r="B67" i="17"/>
  <c r="B68" i="2"/>
  <c r="B80" i="11"/>
  <c r="B81" i="4"/>
  <c r="E109" i="16"/>
  <c r="B80" i="16"/>
  <c r="B82" i="18"/>
  <c r="B81" i="20"/>
  <c r="B82" i="9"/>
  <c r="B82" i="10"/>
  <c r="B79" i="3"/>
  <c r="C109" i="22" l="1"/>
  <c r="J109" i="22"/>
  <c r="C42" i="26"/>
  <c r="J42" i="26"/>
  <c r="C109" i="5"/>
  <c r="J109" i="5"/>
  <c r="C109" i="19"/>
  <c r="J109" i="19"/>
  <c r="B108" i="13"/>
  <c r="C109" i="1"/>
  <c r="J109" i="1"/>
  <c r="J108" i="8"/>
  <c r="C109" i="13"/>
  <c r="J109" i="13"/>
  <c r="B107" i="13"/>
  <c r="B106" i="13"/>
  <c r="B105" i="13"/>
  <c r="B104" i="13"/>
  <c r="B103" i="13"/>
  <c r="B102" i="13"/>
  <c r="B101" i="13"/>
  <c r="J3" i="13"/>
  <c r="J2" i="13"/>
  <c r="B109" i="5" l="1"/>
  <c r="B98" i="13"/>
  <c r="B109" i="13"/>
  <c r="B101" i="11"/>
  <c r="B101" i="4"/>
  <c r="B108" i="16"/>
  <c r="B107" i="16"/>
  <c r="B106" i="16"/>
  <c r="B105" i="16"/>
  <c r="B104" i="16"/>
  <c r="B103" i="16"/>
  <c r="B102" i="16"/>
  <c r="B101" i="16"/>
  <c r="C109" i="18"/>
  <c r="J109" i="18"/>
  <c r="C109" i="20"/>
  <c r="J109" i="20"/>
  <c r="B108" i="20"/>
  <c r="B107" i="20"/>
  <c r="B102" i="20"/>
  <c r="B103" i="20"/>
  <c r="B104" i="20"/>
  <c r="B105" i="20"/>
  <c r="B106" i="20"/>
  <c r="B101" i="20"/>
  <c r="B101" i="9"/>
  <c r="A68" i="10"/>
  <c r="B108" i="10"/>
  <c r="B107" i="10"/>
  <c r="B106" i="10"/>
  <c r="B105" i="10"/>
  <c r="B104" i="10"/>
  <c r="B103" i="10"/>
  <c r="B102" i="10"/>
  <c r="B101" i="10"/>
  <c r="A66" i="3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43" i="26"/>
  <c r="B44" i="26" s="1"/>
  <c r="B4" i="26"/>
  <c r="F34" i="26"/>
  <c r="B109" i="16" l="1"/>
  <c r="B109" i="20"/>
  <c r="B68" i="26"/>
  <c r="F41" i="26"/>
  <c r="F40" i="26"/>
  <c r="F39" i="26"/>
  <c r="F38" i="26"/>
  <c r="F37" i="26"/>
  <c r="F36" i="26"/>
  <c r="F35" i="26"/>
  <c r="F42" i="26" s="1"/>
  <c r="B15" i="26"/>
  <c r="D17" i="26" s="1"/>
  <c r="C14" i="26"/>
  <c r="F5" i="26"/>
  <c r="D5" i="26"/>
  <c r="E5" i="26" s="1"/>
  <c r="J2" i="22"/>
  <c r="J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21"/>
  <c r="J2" i="21"/>
  <c r="J3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2" i="20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2" i="3"/>
  <c r="J2" i="4"/>
  <c r="F108" i="22"/>
  <c r="F107" i="22"/>
  <c r="F106" i="22"/>
  <c r="F105" i="22"/>
  <c r="F104" i="22"/>
  <c r="F103" i="22"/>
  <c r="F102" i="22"/>
  <c r="F101" i="22"/>
  <c r="F108" i="5"/>
  <c r="F107" i="5"/>
  <c r="F106" i="5"/>
  <c r="F105" i="5"/>
  <c r="F104" i="5"/>
  <c r="F103" i="5"/>
  <c r="F102" i="5"/>
  <c r="F101" i="5"/>
  <c r="F109" i="5" s="1"/>
  <c r="F108" i="19"/>
  <c r="F107" i="19"/>
  <c r="F106" i="19"/>
  <c r="F105" i="19"/>
  <c r="F104" i="19"/>
  <c r="F103" i="19"/>
  <c r="F102" i="19"/>
  <c r="F101" i="19"/>
  <c r="F109" i="19" s="1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G102" i="13" s="1"/>
  <c r="F101" i="13"/>
  <c r="F109" i="13" s="1"/>
  <c r="E101" i="13"/>
  <c r="E109" i="13" s="1"/>
  <c r="F107" i="8"/>
  <c r="F106" i="8"/>
  <c r="F105" i="8"/>
  <c r="F104" i="8"/>
  <c r="E104" i="8"/>
  <c r="F103" i="8"/>
  <c r="F102" i="8"/>
  <c r="F101" i="8"/>
  <c r="F100" i="8"/>
  <c r="F108" i="8" s="1"/>
  <c r="F101" i="1"/>
  <c r="F102" i="1"/>
  <c r="F103" i="1"/>
  <c r="F104" i="1"/>
  <c r="F105" i="1"/>
  <c r="F106" i="1"/>
  <c r="F107" i="1"/>
  <c r="F108" i="1"/>
  <c r="D72" i="16"/>
  <c r="E72" i="16" s="1"/>
  <c r="F72" i="16"/>
  <c r="H72" i="16"/>
  <c r="I72" i="16"/>
  <c r="I72" i="11"/>
  <c r="H72" i="11"/>
  <c r="F72" i="11"/>
  <c r="D72" i="11"/>
  <c r="E72" i="11" s="1"/>
  <c r="D72" i="4"/>
  <c r="E72" i="4" s="1"/>
  <c r="F72" i="4"/>
  <c r="H72" i="4"/>
  <c r="I72" i="4"/>
  <c r="J109" i="16"/>
  <c r="F108" i="16"/>
  <c r="E108" i="16"/>
  <c r="G108" i="16" s="1"/>
  <c r="F107" i="16"/>
  <c r="E107" i="16"/>
  <c r="F106" i="16"/>
  <c r="E106" i="16"/>
  <c r="G106" i="16" s="1"/>
  <c r="F105" i="16"/>
  <c r="E105" i="16"/>
  <c r="F104" i="16"/>
  <c r="E104" i="16"/>
  <c r="G104" i="16" s="1"/>
  <c r="F103" i="16"/>
  <c r="E103" i="16"/>
  <c r="G103" i="16" s="1"/>
  <c r="F102" i="16"/>
  <c r="E102" i="16"/>
  <c r="G102" i="16" s="1"/>
  <c r="F101" i="16"/>
  <c r="E101" i="16"/>
  <c r="G101" i="16" s="1"/>
  <c r="C80" i="16"/>
  <c r="F108" i="18"/>
  <c r="F107" i="18"/>
  <c r="F106" i="18"/>
  <c r="F105" i="18"/>
  <c r="F104" i="18"/>
  <c r="F103" i="18"/>
  <c r="F102" i="18"/>
  <c r="B109" i="18"/>
  <c r="F101" i="18"/>
  <c r="I72" i="18"/>
  <c r="H72" i="18"/>
  <c r="F72" i="18"/>
  <c r="D72" i="18"/>
  <c r="E72" i="18" s="1"/>
  <c r="F108" i="20"/>
  <c r="E108" i="20"/>
  <c r="F107" i="20"/>
  <c r="E107" i="20"/>
  <c r="G107" i="20" s="1"/>
  <c r="F106" i="20"/>
  <c r="E106" i="20"/>
  <c r="F105" i="20"/>
  <c r="E105" i="20"/>
  <c r="G105" i="20" s="1"/>
  <c r="F104" i="20"/>
  <c r="E104" i="20"/>
  <c r="F103" i="20"/>
  <c r="E103" i="20"/>
  <c r="G103" i="20" s="1"/>
  <c r="F102" i="20"/>
  <c r="E102" i="20"/>
  <c r="F101" i="20"/>
  <c r="E101" i="20"/>
  <c r="I72" i="20"/>
  <c r="H72" i="20"/>
  <c r="F72" i="20"/>
  <c r="D72" i="20"/>
  <c r="E72" i="20" s="1"/>
  <c r="I72" i="9"/>
  <c r="H72" i="9"/>
  <c r="F72" i="9"/>
  <c r="D72" i="9"/>
  <c r="E72" i="9" s="1"/>
  <c r="D72" i="10"/>
  <c r="E72" i="10" s="1"/>
  <c r="F72" i="10"/>
  <c r="J68" i="10" l="1"/>
  <c r="G101" i="20"/>
  <c r="E109" i="20"/>
  <c r="E106" i="8"/>
  <c r="G106" i="8" s="1"/>
  <c r="B107" i="22"/>
  <c r="E107" i="22" s="1"/>
  <c r="B103" i="22"/>
  <c r="E103" i="22" s="1"/>
  <c r="B104" i="22"/>
  <c r="E104" i="22" s="1"/>
  <c r="G104" i="22" s="1"/>
  <c r="B106" i="22"/>
  <c r="B102" i="22"/>
  <c r="E102" i="22" s="1"/>
  <c r="G102" i="22" s="1"/>
  <c r="B105" i="22"/>
  <c r="E105" i="22" s="1"/>
  <c r="G105" i="22" s="1"/>
  <c r="B101" i="22"/>
  <c r="B108" i="22"/>
  <c r="E108" i="22" s="1"/>
  <c r="G108" i="22" s="1"/>
  <c r="F109" i="22"/>
  <c r="E106" i="22"/>
  <c r="G106" i="22" s="1"/>
  <c r="G102" i="20"/>
  <c r="G104" i="20"/>
  <c r="G106" i="20"/>
  <c r="G108" i="20"/>
  <c r="F109" i="1"/>
  <c r="G104" i="13"/>
  <c r="B104" i="19"/>
  <c r="B103" i="19"/>
  <c r="E103" i="19" s="1"/>
  <c r="G103" i="19" s="1"/>
  <c r="B105" i="19"/>
  <c r="E105" i="19" s="1"/>
  <c r="G105" i="19" s="1"/>
  <c r="B101" i="19"/>
  <c r="B102" i="19"/>
  <c r="E102" i="19" s="1"/>
  <c r="G102" i="19" s="1"/>
  <c r="E102" i="8"/>
  <c r="G102" i="8" s="1"/>
  <c r="B107" i="19"/>
  <c r="E107" i="19" s="1"/>
  <c r="G107" i="19" s="1"/>
  <c r="J66" i="3"/>
  <c r="E107" i="18"/>
  <c r="G107" i="18" s="1"/>
  <c r="E103" i="18"/>
  <c r="E104" i="18"/>
  <c r="E108" i="18"/>
  <c r="E101" i="18"/>
  <c r="E105" i="18"/>
  <c r="E102" i="18"/>
  <c r="E106" i="18"/>
  <c r="E104" i="19"/>
  <c r="G104" i="19" s="1"/>
  <c r="B108" i="19"/>
  <c r="E108" i="19" s="1"/>
  <c r="G108" i="19" s="1"/>
  <c r="B106" i="19"/>
  <c r="E106" i="19" s="1"/>
  <c r="G106" i="19" s="1"/>
  <c r="E101" i="19"/>
  <c r="G103" i="22"/>
  <c r="E105" i="8"/>
  <c r="E103" i="8"/>
  <c r="G103" i="8" s="1"/>
  <c r="E107" i="8"/>
  <c r="G107" i="8" s="1"/>
  <c r="E101" i="8"/>
  <c r="G101" i="8" s="1"/>
  <c r="G107" i="22"/>
  <c r="G101" i="13"/>
  <c r="G103" i="13"/>
  <c r="G105" i="13"/>
  <c r="G107" i="13"/>
  <c r="G106" i="13"/>
  <c r="G108" i="13"/>
  <c r="G104" i="8"/>
  <c r="G105" i="8"/>
  <c r="G105" i="16"/>
  <c r="G107" i="16"/>
  <c r="G106" i="18"/>
  <c r="G108" i="18"/>
  <c r="C82" i="10"/>
  <c r="F70" i="3"/>
  <c r="D70" i="3"/>
  <c r="E70" i="3" s="1"/>
  <c r="C109" i="9"/>
  <c r="J109" i="9"/>
  <c r="F108" i="9"/>
  <c r="B108" i="9"/>
  <c r="E108" i="9" s="1"/>
  <c r="F107" i="9"/>
  <c r="B107" i="9"/>
  <c r="E107" i="9" s="1"/>
  <c r="F106" i="9"/>
  <c r="B106" i="9"/>
  <c r="E106" i="9" s="1"/>
  <c r="G106" i="9" s="1"/>
  <c r="F105" i="9"/>
  <c r="B105" i="9"/>
  <c r="E105" i="9" s="1"/>
  <c r="F104" i="9"/>
  <c r="B104" i="9"/>
  <c r="E104" i="9" s="1"/>
  <c r="G104" i="9" s="1"/>
  <c r="F103" i="9"/>
  <c r="B103" i="9"/>
  <c r="E103" i="9" s="1"/>
  <c r="G103" i="9" s="1"/>
  <c r="F102" i="9"/>
  <c r="B102" i="9"/>
  <c r="E102" i="9" s="1"/>
  <c r="G102" i="9" s="1"/>
  <c r="F101" i="9"/>
  <c r="C109" i="10"/>
  <c r="J109" i="10"/>
  <c r="F108" i="10"/>
  <c r="E108" i="10"/>
  <c r="F107" i="10"/>
  <c r="E107" i="10"/>
  <c r="F106" i="10"/>
  <c r="E106" i="10"/>
  <c r="F105" i="10"/>
  <c r="E105" i="10"/>
  <c r="F104" i="10"/>
  <c r="E104" i="10"/>
  <c r="G104" i="10" s="1"/>
  <c r="F103" i="10"/>
  <c r="E103" i="10"/>
  <c r="G103" i="10" s="1"/>
  <c r="F102" i="10"/>
  <c r="E102" i="10"/>
  <c r="G102" i="10" s="1"/>
  <c r="F101" i="10"/>
  <c r="F109" i="10" s="1"/>
  <c r="E101" i="10"/>
  <c r="C107" i="3"/>
  <c r="J107" i="3"/>
  <c r="F106" i="3"/>
  <c r="E106" i="3"/>
  <c r="F105" i="3"/>
  <c r="E105" i="3"/>
  <c r="F104" i="3"/>
  <c r="E104" i="3"/>
  <c r="G104" i="3" s="1"/>
  <c r="F103" i="3"/>
  <c r="E103" i="3"/>
  <c r="F102" i="3"/>
  <c r="E102" i="3"/>
  <c r="G102" i="3" s="1"/>
  <c r="F101" i="3"/>
  <c r="E101" i="3"/>
  <c r="F100" i="3"/>
  <c r="E100" i="3"/>
  <c r="G100" i="3" s="1"/>
  <c r="F99" i="3"/>
  <c r="E99" i="3"/>
  <c r="F109" i="21"/>
  <c r="C109" i="21"/>
  <c r="J109" i="21"/>
  <c r="F108" i="21"/>
  <c r="E108" i="21"/>
  <c r="G108" i="21" s="1"/>
  <c r="F107" i="21"/>
  <c r="E107" i="21"/>
  <c r="F106" i="21"/>
  <c r="E106" i="21"/>
  <c r="G106" i="21" s="1"/>
  <c r="F105" i="21"/>
  <c r="E105" i="21"/>
  <c r="F104" i="21"/>
  <c r="E104" i="21"/>
  <c r="G104" i="21" s="1"/>
  <c r="F103" i="21"/>
  <c r="E103" i="21"/>
  <c r="G103" i="21" s="1"/>
  <c r="F102" i="21"/>
  <c r="E102" i="21"/>
  <c r="G102" i="21" s="1"/>
  <c r="F101" i="21"/>
  <c r="E101" i="21"/>
  <c r="C109" i="14"/>
  <c r="J109" i="14"/>
  <c r="F108" i="14"/>
  <c r="E108" i="14"/>
  <c r="F107" i="14"/>
  <c r="E107" i="14"/>
  <c r="F106" i="14"/>
  <c r="E106" i="14"/>
  <c r="E109" i="14" s="1"/>
  <c r="F105" i="14"/>
  <c r="E105" i="14"/>
  <c r="F104" i="14"/>
  <c r="E104" i="14"/>
  <c r="G104" i="14" s="1"/>
  <c r="F103" i="14"/>
  <c r="E103" i="14"/>
  <c r="G103" i="14" s="1"/>
  <c r="F102" i="14"/>
  <c r="E102" i="14"/>
  <c r="G102" i="14" s="1"/>
  <c r="F101" i="14"/>
  <c r="E101" i="14"/>
  <c r="G101" i="14" s="1"/>
  <c r="J109" i="11"/>
  <c r="J109" i="17"/>
  <c r="F108" i="17"/>
  <c r="E108" i="17"/>
  <c r="F107" i="17"/>
  <c r="E107" i="17"/>
  <c r="G107" i="17" s="1"/>
  <c r="F106" i="17"/>
  <c r="E106" i="17"/>
  <c r="F105" i="17"/>
  <c r="E105" i="17"/>
  <c r="G105" i="17" s="1"/>
  <c r="F104" i="17"/>
  <c r="E104" i="17"/>
  <c r="F103" i="17"/>
  <c r="E103" i="17"/>
  <c r="G103" i="17" s="1"/>
  <c r="F102" i="17"/>
  <c r="E102" i="17"/>
  <c r="F101" i="17"/>
  <c r="E101" i="17"/>
  <c r="J109" i="2"/>
  <c r="F108" i="2"/>
  <c r="E108" i="2"/>
  <c r="G108" i="2" s="1"/>
  <c r="F107" i="2"/>
  <c r="E107" i="2"/>
  <c r="F106" i="2"/>
  <c r="E106" i="2"/>
  <c r="G106" i="2" s="1"/>
  <c r="F105" i="2"/>
  <c r="E105" i="2"/>
  <c r="F104" i="2"/>
  <c r="E104" i="2"/>
  <c r="G104" i="2" s="1"/>
  <c r="F103" i="2"/>
  <c r="E103" i="2"/>
  <c r="F102" i="2"/>
  <c r="E102" i="2"/>
  <c r="G102" i="2" s="1"/>
  <c r="F101" i="2"/>
  <c r="E101" i="2"/>
  <c r="E59" i="2"/>
  <c r="C59" i="2"/>
  <c r="D59" i="2" s="1"/>
  <c r="E101" i="11"/>
  <c r="F108" i="11"/>
  <c r="B108" i="11"/>
  <c r="E108" i="11" s="1"/>
  <c r="F107" i="11"/>
  <c r="B107" i="11"/>
  <c r="E107" i="11" s="1"/>
  <c r="F106" i="11"/>
  <c r="B106" i="11"/>
  <c r="E106" i="11" s="1"/>
  <c r="F105" i="11"/>
  <c r="B105" i="11"/>
  <c r="E105" i="11" s="1"/>
  <c r="F104" i="11"/>
  <c r="B104" i="11"/>
  <c r="E104" i="11" s="1"/>
  <c r="G104" i="11" s="1"/>
  <c r="F103" i="11"/>
  <c r="B103" i="11"/>
  <c r="E103" i="11" s="1"/>
  <c r="F102" i="11"/>
  <c r="B102" i="11"/>
  <c r="E102" i="11" s="1"/>
  <c r="G102" i="11" s="1"/>
  <c r="F101" i="11"/>
  <c r="J109" i="4"/>
  <c r="F102" i="4"/>
  <c r="F103" i="4"/>
  <c r="F104" i="4"/>
  <c r="F105" i="4"/>
  <c r="F106" i="4"/>
  <c r="F107" i="4"/>
  <c r="F108" i="4"/>
  <c r="F101" i="4"/>
  <c r="J22" i="4"/>
  <c r="B107" i="4"/>
  <c r="B108" i="4"/>
  <c r="B106" i="4"/>
  <c r="G101" i="21" l="1"/>
  <c r="E109" i="21"/>
  <c r="G101" i="17"/>
  <c r="E109" i="17"/>
  <c r="G109" i="13"/>
  <c r="G101" i="19"/>
  <c r="G109" i="19" s="1"/>
  <c r="E109" i="19"/>
  <c r="E109" i="18"/>
  <c r="B109" i="22"/>
  <c r="E101" i="22"/>
  <c r="B109" i="19"/>
  <c r="E100" i="8"/>
  <c r="E108" i="8" s="1"/>
  <c r="B108" i="8"/>
  <c r="G109" i="20"/>
  <c r="G103" i="18"/>
  <c r="G105" i="18"/>
  <c r="G102" i="18"/>
  <c r="G101" i="18"/>
  <c r="G104" i="18"/>
  <c r="B109" i="21"/>
  <c r="B109" i="14"/>
  <c r="G102" i="17"/>
  <c r="G104" i="17"/>
  <c r="G106" i="17"/>
  <c r="G108" i="17"/>
  <c r="G103" i="2"/>
  <c r="E101" i="9"/>
  <c r="E109" i="9" s="1"/>
  <c r="F107" i="3"/>
  <c r="G101" i="2"/>
  <c r="E109" i="11"/>
  <c r="F109" i="9"/>
  <c r="G108" i="9"/>
  <c r="G101" i="10"/>
  <c r="G106" i="10"/>
  <c r="G108" i="10"/>
  <c r="B109" i="9"/>
  <c r="E107" i="3"/>
  <c r="H70" i="3" s="1"/>
  <c r="B109" i="10"/>
  <c r="E109" i="10"/>
  <c r="H72" i="10" s="1"/>
  <c r="G105" i="9"/>
  <c r="G107" i="9"/>
  <c r="G105" i="10"/>
  <c r="G107" i="10"/>
  <c r="B107" i="3"/>
  <c r="G99" i="3"/>
  <c r="G101" i="3"/>
  <c r="G103" i="3"/>
  <c r="G105" i="3"/>
  <c r="G106" i="3"/>
  <c r="G105" i="21"/>
  <c r="G107" i="21"/>
  <c r="G105" i="14"/>
  <c r="G107" i="14"/>
  <c r="G106" i="14"/>
  <c r="G108" i="14"/>
  <c r="B109" i="11"/>
  <c r="G106" i="11"/>
  <c r="G108" i="11"/>
  <c r="G105" i="2"/>
  <c r="G107" i="2"/>
  <c r="G101" i="11"/>
  <c r="G103" i="11"/>
  <c r="G105" i="11"/>
  <c r="G107" i="11"/>
  <c r="G59" i="2"/>
  <c r="H59" i="2"/>
  <c r="G109" i="18" l="1"/>
  <c r="G100" i="8"/>
  <c r="G108" i="8" s="1"/>
  <c r="E109" i="22"/>
  <c r="G101" i="22"/>
  <c r="G109" i="22" s="1"/>
  <c r="G109" i="21"/>
  <c r="G109" i="14"/>
  <c r="G101" i="9"/>
  <c r="G109" i="9" s="1"/>
  <c r="G109" i="11"/>
  <c r="I70" i="3"/>
  <c r="I72" i="10"/>
  <c r="G109" i="10"/>
  <c r="G107" i="3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E106" i="4"/>
  <c r="B105" i="4"/>
  <c r="B104" i="4"/>
  <c r="B103" i="4"/>
  <c r="B102" i="4"/>
  <c r="B34" i="26"/>
  <c r="E108" i="4"/>
  <c r="E102" i="4" l="1"/>
  <c r="G108" i="4"/>
  <c r="E104" i="4"/>
  <c r="E105" i="4"/>
  <c r="G106" i="4"/>
  <c r="E103" i="4"/>
  <c r="B109" i="17"/>
  <c r="B109" i="4"/>
  <c r="B109" i="2"/>
  <c r="E101" i="4"/>
  <c r="J45" i="4"/>
  <c r="K45" i="4"/>
  <c r="G104" i="4" l="1"/>
  <c r="G102" i="4"/>
  <c r="G103" i="4"/>
  <c r="G105" i="4"/>
  <c r="B72" i="16"/>
  <c r="B72" i="11"/>
  <c r="B72" i="4"/>
  <c r="B5" i="26"/>
  <c r="B72" i="10"/>
  <c r="B72" i="9"/>
  <c r="B72" i="18"/>
  <c r="B72" i="20"/>
  <c r="B70" i="3"/>
  <c r="G101" i="4"/>
  <c r="A56" i="22"/>
  <c r="A34" i="5"/>
  <c r="A60" i="19"/>
  <c r="A60" i="13"/>
  <c r="A47" i="8"/>
  <c r="A35" i="1"/>
  <c r="A50" i="21"/>
  <c r="A69" i="14"/>
  <c r="A56" i="17"/>
  <c r="A57" i="2"/>
  <c r="A45" i="11"/>
  <c r="A45" i="4" l="1"/>
  <c r="A46" i="16" l="1"/>
  <c r="A47" i="20"/>
  <c r="A45" i="9"/>
  <c r="A61" i="18"/>
  <c r="K45" i="9" l="1"/>
  <c r="I45" i="9" l="1"/>
  <c r="H7" i="15" s="1"/>
  <c r="H45" i="9"/>
  <c r="G7" i="15" s="1"/>
  <c r="H6" i="15"/>
  <c r="H8" i="15"/>
  <c r="H9" i="15"/>
  <c r="H10" i="15"/>
  <c r="H17" i="15"/>
  <c r="H18" i="15"/>
  <c r="H19" i="15"/>
  <c r="H20" i="15"/>
  <c r="H21" i="15"/>
  <c r="H22" i="15"/>
  <c r="G6" i="15"/>
  <c r="G10" i="15"/>
  <c r="G12" i="15"/>
  <c r="G13" i="15"/>
  <c r="G14" i="15"/>
  <c r="G15" i="15"/>
  <c r="G16" i="15"/>
  <c r="G17" i="15"/>
  <c r="G18" i="15"/>
  <c r="G20" i="15"/>
  <c r="G21" i="15"/>
  <c r="G22" i="15"/>
  <c r="I45" i="4"/>
  <c r="H11" i="15" s="1"/>
  <c r="H45" i="4"/>
  <c r="G11" i="15" s="1"/>
  <c r="G45" i="4"/>
  <c r="H66" i="3"/>
  <c r="G5" i="15" s="1"/>
  <c r="K68" i="10"/>
  <c r="I68" i="10"/>
  <c r="H68" i="10"/>
  <c r="G68" i="10"/>
  <c r="F68" i="10"/>
  <c r="E68" i="10"/>
  <c r="D68" i="10"/>
  <c r="C68" i="10"/>
  <c r="L68" i="10"/>
  <c r="F46" i="16"/>
  <c r="D46" i="16"/>
  <c r="Q18" i="23" l="1"/>
  <c r="O18" i="23"/>
  <c r="M18" i="23"/>
  <c r="P27" i="23"/>
  <c r="P26" i="23"/>
  <c r="M14" i="23"/>
  <c r="I14" i="23"/>
  <c r="J14" i="23" s="1"/>
  <c r="F14" i="23"/>
  <c r="H14" i="23" s="1"/>
  <c r="B14" i="23"/>
  <c r="C14" i="23" s="1"/>
  <c r="I13" i="23"/>
  <c r="F13" i="23"/>
  <c r="B13" i="23"/>
  <c r="I12" i="23"/>
  <c r="F12" i="23"/>
  <c r="H12" i="23" s="1"/>
  <c r="U12" i="23" s="1"/>
  <c r="D12" i="23"/>
  <c r="B12" i="23"/>
  <c r="C12" i="23" s="1"/>
  <c r="I11" i="23"/>
  <c r="F11" i="23"/>
  <c r="G11" i="23" s="1"/>
  <c r="D11" i="23"/>
  <c r="B11" i="23"/>
  <c r="C11" i="23" s="1"/>
  <c r="I10" i="23"/>
  <c r="F10" i="23"/>
  <c r="H10" i="23" s="1"/>
  <c r="B10" i="23"/>
  <c r="C10" i="23" s="1"/>
  <c r="I9" i="23"/>
  <c r="F9" i="23"/>
  <c r="B9" i="23"/>
  <c r="Y8" i="23"/>
  <c r="Z8" i="23" s="1"/>
  <c r="K8" i="23"/>
  <c r="L8" i="23" s="1"/>
  <c r="J8" i="23"/>
  <c r="H8" i="23"/>
  <c r="U8" i="23" s="1"/>
  <c r="V8" i="23" s="1"/>
  <c r="G8" i="23"/>
  <c r="E8" i="23"/>
  <c r="D8" i="23"/>
  <c r="C8" i="23"/>
  <c r="Y7" i="23"/>
  <c r="J7" i="23"/>
  <c r="H7" i="23"/>
  <c r="K7" i="23" s="1"/>
  <c r="G7" i="23"/>
  <c r="D7" i="23"/>
  <c r="C7" i="23"/>
  <c r="Y6" i="23"/>
  <c r="K6" i="23"/>
  <c r="J6" i="23"/>
  <c r="H6" i="23"/>
  <c r="U6" i="23" s="1"/>
  <c r="G6" i="23"/>
  <c r="D6" i="23"/>
  <c r="C6" i="23"/>
  <c r="E6" i="23" s="1"/>
  <c r="Y5" i="23"/>
  <c r="J5" i="23"/>
  <c r="H5" i="23"/>
  <c r="K5" i="23" s="1"/>
  <c r="L5" i="23" s="1"/>
  <c r="G5" i="23"/>
  <c r="D5" i="23"/>
  <c r="C5" i="23"/>
  <c r="Z4" i="23"/>
  <c r="Y4" i="23"/>
  <c r="K4" i="23"/>
  <c r="J4" i="23"/>
  <c r="H4" i="23"/>
  <c r="U4" i="23" s="1"/>
  <c r="G4" i="23"/>
  <c r="E4" i="23"/>
  <c r="D4" i="23"/>
  <c r="C4" i="23"/>
  <c r="J9" i="23" l="1"/>
  <c r="G12" i="23"/>
  <c r="J10" i="23"/>
  <c r="H11" i="23"/>
  <c r="K11" i="23" s="1"/>
  <c r="L11" i="23" s="1"/>
  <c r="J12" i="23"/>
  <c r="Y11" i="23"/>
  <c r="Z11" i="23" s="1"/>
  <c r="Y12" i="23"/>
  <c r="Z12" i="23" s="1"/>
  <c r="K12" i="23"/>
  <c r="L12" i="23" s="1"/>
  <c r="V6" i="23"/>
  <c r="Z6" i="23"/>
  <c r="L6" i="23"/>
  <c r="U5" i="23"/>
  <c r="V5" i="23" s="1"/>
  <c r="L7" i="23"/>
  <c r="Z7" i="23"/>
  <c r="Y9" i="23"/>
  <c r="G9" i="23"/>
  <c r="H9" i="23"/>
  <c r="D9" i="23"/>
  <c r="K10" i="23"/>
  <c r="L10" i="23" s="1"/>
  <c r="Y10" i="23"/>
  <c r="Z10" i="23" s="1"/>
  <c r="N11" i="23"/>
  <c r="Y13" i="23"/>
  <c r="H13" i="23"/>
  <c r="D13" i="23"/>
  <c r="G13" i="23"/>
  <c r="L4" i="23"/>
  <c r="Z5" i="23"/>
  <c r="E7" i="23"/>
  <c r="N7" i="23"/>
  <c r="N10" i="23"/>
  <c r="E11" i="23"/>
  <c r="V12" i="23"/>
  <c r="V4" i="23"/>
  <c r="E5" i="23"/>
  <c r="N5" i="23"/>
  <c r="U7" i="23"/>
  <c r="V7" i="23" s="1"/>
  <c r="B15" i="23"/>
  <c r="C15" i="23" s="1"/>
  <c r="C9" i="23"/>
  <c r="U10" i="23"/>
  <c r="V10" i="23" s="1"/>
  <c r="E12" i="23"/>
  <c r="C13" i="23"/>
  <c r="J13" i="23"/>
  <c r="K14" i="23"/>
  <c r="L14" i="23" s="1"/>
  <c r="U14" i="23"/>
  <c r="V14" i="23" s="1"/>
  <c r="N14" i="23"/>
  <c r="Y14" i="23"/>
  <c r="Z14" i="23" s="1"/>
  <c r="N4" i="23"/>
  <c r="N6" i="23"/>
  <c r="N8" i="23"/>
  <c r="G10" i="23"/>
  <c r="J11" i="23"/>
  <c r="N12" i="23"/>
  <c r="G14" i="23"/>
  <c r="D10" i="23"/>
  <c r="E10" i="23" s="1"/>
  <c r="D14" i="23"/>
  <c r="E14" i="23" s="1"/>
  <c r="J15" i="23" l="1"/>
  <c r="E13" i="23"/>
  <c r="Z9" i="23"/>
  <c r="G15" i="23"/>
  <c r="Y15" i="23"/>
  <c r="U11" i="23"/>
  <c r="V11" i="23" s="1"/>
  <c r="E9" i="23"/>
  <c r="E15" i="23" s="1"/>
  <c r="Z15" i="23"/>
  <c r="H15" i="23"/>
  <c r="D15" i="23"/>
  <c r="O5" i="23"/>
  <c r="P5" i="23" s="1"/>
  <c r="Q5" i="23" s="1"/>
  <c r="W5" i="23"/>
  <c r="X5" i="23" s="1"/>
  <c r="U13" i="23"/>
  <c r="V13" i="23" s="1"/>
  <c r="N13" i="23"/>
  <c r="K13" i="23"/>
  <c r="L13" i="23" s="1"/>
  <c r="U9" i="23"/>
  <c r="V9" i="23" s="1"/>
  <c r="N9" i="23"/>
  <c r="K9" i="23"/>
  <c r="O8" i="23"/>
  <c r="P8" i="23" s="1"/>
  <c r="Q8" i="23" s="1"/>
  <c r="W8" i="23"/>
  <c r="X8" i="23" s="1"/>
  <c r="W14" i="23"/>
  <c r="X14" i="23" s="1"/>
  <c r="O14" i="23"/>
  <c r="P14" i="23" s="1"/>
  <c r="Q14" i="23" s="1"/>
  <c r="U15" i="23"/>
  <c r="O10" i="23"/>
  <c r="P10" i="23" s="1"/>
  <c r="Q10" i="23" s="1"/>
  <c r="W10" i="23"/>
  <c r="X10" i="23" s="1"/>
  <c r="Z13" i="23"/>
  <c r="O12" i="23"/>
  <c r="P12" i="23" s="1"/>
  <c r="Q12" i="23" s="1"/>
  <c r="W12" i="23"/>
  <c r="X12" i="23" s="1"/>
  <c r="O6" i="23"/>
  <c r="P6" i="23" s="1"/>
  <c r="Q6" i="23" s="1"/>
  <c r="W6" i="23"/>
  <c r="X6" i="23" s="1"/>
  <c r="O7" i="23"/>
  <c r="P7" i="23" s="1"/>
  <c r="Q7" i="23" s="1"/>
  <c r="W7" i="23"/>
  <c r="X7" i="23" s="1"/>
  <c r="W11" i="23"/>
  <c r="O11" i="23"/>
  <c r="P11" i="23" s="1"/>
  <c r="Q11" i="23" s="1"/>
  <c r="O4" i="23"/>
  <c r="P4" i="23" s="1"/>
  <c r="Q4" i="23" s="1"/>
  <c r="W4" i="23"/>
  <c r="X4" i="23" s="1"/>
  <c r="X11" i="23" l="1"/>
  <c r="V15" i="23"/>
  <c r="L9" i="23"/>
  <c r="L15" i="23" s="1"/>
  <c r="K15" i="23"/>
  <c r="O13" i="23"/>
  <c r="P13" i="23" s="1"/>
  <c r="Q13" i="23" s="1"/>
  <c r="W13" i="23"/>
  <c r="X13" i="23" s="1"/>
  <c r="W9" i="23"/>
  <c r="X9" i="23" s="1"/>
  <c r="X15" i="23" s="1"/>
  <c r="O9" i="23"/>
  <c r="P9" i="23" s="1"/>
  <c r="Q9" i="23" s="1"/>
  <c r="Q15" i="23" s="1"/>
  <c r="F22" i="15" l="1"/>
  <c r="I22" i="15"/>
  <c r="I21" i="15"/>
  <c r="I20" i="15"/>
  <c r="C60" i="19"/>
  <c r="B20" i="15" s="1"/>
  <c r="D60" i="19"/>
  <c r="C20" i="15" s="1"/>
  <c r="E60" i="19"/>
  <c r="D20" i="15" s="1"/>
  <c r="F60" i="19"/>
  <c r="E20" i="15" s="1"/>
  <c r="G60" i="19"/>
  <c r="F20" i="15" s="1"/>
  <c r="M60" i="19"/>
  <c r="I19" i="15"/>
  <c r="F18" i="15"/>
  <c r="I18" i="15"/>
  <c r="C47" i="8"/>
  <c r="B18" i="15" s="1"/>
  <c r="D47" i="8"/>
  <c r="C18" i="15" s="1"/>
  <c r="E47" i="8"/>
  <c r="D18" i="15" s="1"/>
  <c r="F47" i="8"/>
  <c r="E18" i="15" s="1"/>
  <c r="M47" i="8"/>
  <c r="I17" i="15"/>
  <c r="F16" i="15"/>
  <c r="F15" i="15"/>
  <c r="C69" i="14"/>
  <c r="B15" i="15" s="1"/>
  <c r="D69" i="14"/>
  <c r="C15" i="15" s="1"/>
  <c r="E69" i="14"/>
  <c r="D15" i="15" s="1"/>
  <c r="F69" i="14"/>
  <c r="E15" i="15" s="1"/>
  <c r="K69" i="14"/>
  <c r="H15" i="15" s="1"/>
  <c r="M69" i="14"/>
  <c r="K56" i="17"/>
  <c r="H14" i="15" s="1"/>
  <c r="G56" i="17"/>
  <c r="F14" i="15" s="1"/>
  <c r="F56" i="17"/>
  <c r="E14" i="15" s="1"/>
  <c r="E56" i="17"/>
  <c r="D14" i="15" s="1"/>
  <c r="D56" i="17"/>
  <c r="C14" i="15" s="1"/>
  <c r="C56" i="17"/>
  <c r="B14" i="15" s="1"/>
  <c r="M56" i="17"/>
  <c r="C6" i="15"/>
  <c r="D6" i="15"/>
  <c r="E6" i="15"/>
  <c r="F6" i="15"/>
  <c r="I6" i="15"/>
  <c r="F13" i="15"/>
  <c r="K57" i="2"/>
  <c r="H13" i="15" s="1"/>
  <c r="F57" i="2"/>
  <c r="E13" i="15" s="1"/>
  <c r="E57" i="2"/>
  <c r="D13" i="15" s="1"/>
  <c r="D57" i="2"/>
  <c r="C13" i="15" s="1"/>
  <c r="C57" i="2"/>
  <c r="B13" i="15" s="1"/>
  <c r="M57" i="2"/>
  <c r="F11" i="15"/>
  <c r="E10" i="15"/>
  <c r="F10" i="15"/>
  <c r="K46" i="16"/>
  <c r="I10" i="15" s="1"/>
  <c r="E46" i="16"/>
  <c r="D10" i="15" s="1"/>
  <c r="C10" i="15"/>
  <c r="C46" i="16"/>
  <c r="B10" i="15" s="1"/>
  <c r="M46" i="16"/>
  <c r="C61" i="18"/>
  <c r="B9" i="15" s="1"/>
  <c r="D61" i="18"/>
  <c r="C9" i="15" s="1"/>
  <c r="E61" i="18"/>
  <c r="D9" i="15" s="1"/>
  <c r="F61" i="18"/>
  <c r="E9" i="15" s="1"/>
  <c r="G61" i="18"/>
  <c r="F9" i="15" s="1"/>
  <c r="H61" i="18"/>
  <c r="G9" i="15" s="1"/>
  <c r="K61" i="18"/>
  <c r="I9" i="15" s="1"/>
  <c r="M61" i="18"/>
  <c r="B6" i="15"/>
  <c r="F56" i="22"/>
  <c r="E22" i="15" s="1"/>
  <c r="E56" i="22"/>
  <c r="D22" i="15" s="1"/>
  <c r="C56" i="22"/>
  <c r="B22" i="15" s="1"/>
  <c r="D56" i="22"/>
  <c r="C22" i="15" s="1"/>
  <c r="M56" i="22"/>
  <c r="C67" i="22"/>
  <c r="B68" i="22" s="1"/>
  <c r="D70" i="22" s="1"/>
  <c r="C34" i="5"/>
  <c r="B21" i="15" s="1"/>
  <c r="D34" i="5"/>
  <c r="E34" i="5"/>
  <c r="D21" i="15" s="1"/>
  <c r="F34" i="5"/>
  <c r="E21" i="15" s="1"/>
  <c r="G34" i="5"/>
  <c r="F21" i="15" s="1"/>
  <c r="M34" i="5"/>
  <c r="C45" i="5"/>
  <c r="B46" i="5" s="1"/>
  <c r="D48" i="5" s="1"/>
  <c r="C71" i="19"/>
  <c r="B72" i="19" s="1"/>
  <c r="D74" i="19" s="1"/>
  <c r="C71" i="13"/>
  <c r="B72" i="13" s="1"/>
  <c r="D74" i="13" s="1"/>
  <c r="G60" i="13"/>
  <c r="F19" i="15" s="1"/>
  <c r="E60" i="13"/>
  <c r="D19" i="15" s="1"/>
  <c r="F60" i="13"/>
  <c r="E19" i="15" s="1"/>
  <c r="C60" i="13"/>
  <c r="B19" i="15" s="1"/>
  <c r="D60" i="13"/>
  <c r="C19" i="15" s="1"/>
  <c r="H60" i="13"/>
  <c r="G19" i="15" s="1"/>
  <c r="M60" i="13"/>
  <c r="C59" i="8"/>
  <c r="B60" i="8" s="1"/>
  <c r="D62" i="8" s="1"/>
  <c r="C35" i="1"/>
  <c r="B17" i="15" s="1"/>
  <c r="D35" i="1"/>
  <c r="E35" i="1"/>
  <c r="D17" i="15" s="1"/>
  <c r="F35" i="1"/>
  <c r="E17" i="15" s="1"/>
  <c r="G35" i="1"/>
  <c r="F17" i="15" s="1"/>
  <c r="M35" i="1"/>
  <c r="C46" i="1"/>
  <c r="B47" i="1" s="1"/>
  <c r="D49" i="1" s="1"/>
  <c r="C50" i="21"/>
  <c r="B16" i="15" s="1"/>
  <c r="D50" i="21"/>
  <c r="C16" i="15" s="1"/>
  <c r="E50" i="21"/>
  <c r="D16" i="15" s="1"/>
  <c r="F50" i="21"/>
  <c r="E16" i="15" s="1"/>
  <c r="K50" i="21"/>
  <c r="H16" i="15" s="1"/>
  <c r="M50" i="21"/>
  <c r="C61" i="21"/>
  <c r="B62" i="21" s="1"/>
  <c r="D64" i="21" s="1"/>
  <c r="C80" i="14"/>
  <c r="B81" i="14" s="1"/>
  <c r="D83" i="14" s="1"/>
  <c r="C67" i="17"/>
  <c r="B68" i="17" s="1"/>
  <c r="D70" i="17" s="1"/>
  <c r="C68" i="2"/>
  <c r="C80" i="11"/>
  <c r="D45" i="11"/>
  <c r="C12" i="15" s="1"/>
  <c r="C45" i="11"/>
  <c r="B12" i="15" s="1"/>
  <c r="E45" i="11"/>
  <c r="D12" i="15" s="1"/>
  <c r="F45" i="11"/>
  <c r="E12" i="15" s="1"/>
  <c r="G45" i="11"/>
  <c r="F12" i="15" s="1"/>
  <c r="K45" i="11"/>
  <c r="C45" i="4"/>
  <c r="D45" i="4"/>
  <c r="E45" i="4"/>
  <c r="F45" i="4"/>
  <c r="E11" i="15" s="1"/>
  <c r="I11" i="15"/>
  <c r="M45" i="4"/>
  <c r="C81" i="4"/>
  <c r="B81" i="16"/>
  <c r="D83" i="16" s="1"/>
  <c r="C82" i="9"/>
  <c r="B83" i="9" s="1"/>
  <c r="D85" i="9" s="1"/>
  <c r="C82" i="18"/>
  <c r="B83" i="18" s="1"/>
  <c r="D85" i="18" s="1"/>
  <c r="K47" i="20"/>
  <c r="I8" i="15" s="1"/>
  <c r="H47" i="20"/>
  <c r="G8" i="15" s="1"/>
  <c r="G47" i="20"/>
  <c r="F8" i="15" s="1"/>
  <c r="F47" i="20"/>
  <c r="E8" i="15" s="1"/>
  <c r="E47" i="20"/>
  <c r="D8" i="15" s="1"/>
  <c r="D47" i="20"/>
  <c r="C8" i="15" s="1"/>
  <c r="C47" i="20"/>
  <c r="B8" i="15" s="1"/>
  <c r="C81" i="20"/>
  <c r="B82" i="20" s="1"/>
  <c r="D84" i="20" s="1"/>
  <c r="G45" i="9"/>
  <c r="F7" i="15" s="1"/>
  <c r="F45" i="9"/>
  <c r="E7" i="15" s="1"/>
  <c r="E45" i="9"/>
  <c r="D7" i="15" s="1"/>
  <c r="C45" i="9"/>
  <c r="B7" i="15" s="1"/>
  <c r="D45" i="9"/>
  <c r="C7" i="15" s="1"/>
  <c r="I7" i="15"/>
  <c r="M45" i="9"/>
  <c r="B83" i="10"/>
  <c r="D85" i="10" s="1"/>
  <c r="C79" i="3"/>
  <c r="B80" i="3" s="1"/>
  <c r="D82" i="3" s="1"/>
  <c r="D66" i="3"/>
  <c r="C5" i="15" s="1"/>
  <c r="E66" i="3"/>
  <c r="D5" i="15" s="1"/>
  <c r="F66" i="3"/>
  <c r="E5" i="15" s="1"/>
  <c r="G66" i="3"/>
  <c r="F5" i="15" s="1"/>
  <c r="K66" i="3"/>
  <c r="C21" i="15" l="1"/>
  <c r="E107" i="5"/>
  <c r="G107" i="5" s="1"/>
  <c r="E105" i="5"/>
  <c r="G105" i="5" s="1"/>
  <c r="E103" i="5"/>
  <c r="G103" i="5" s="1"/>
  <c r="E108" i="5"/>
  <c r="G108" i="5" s="1"/>
  <c r="E104" i="5"/>
  <c r="G104" i="5" s="1"/>
  <c r="E102" i="5"/>
  <c r="G102" i="5" s="1"/>
  <c r="E106" i="5"/>
  <c r="G106" i="5" s="1"/>
  <c r="C17" i="15"/>
  <c r="B69" i="2"/>
  <c r="D71" i="2" s="1"/>
  <c r="A59" i="2"/>
  <c r="B81" i="11"/>
  <c r="D83" i="11" s="1"/>
  <c r="B82" i="4"/>
  <c r="D84" i="4" s="1"/>
  <c r="B11" i="15"/>
  <c r="D11" i="15"/>
  <c r="C11" i="15"/>
  <c r="C23" i="15" s="1"/>
  <c r="I14" i="15"/>
  <c r="I16" i="15"/>
  <c r="I15" i="15"/>
  <c r="I13" i="15"/>
  <c r="I12" i="15"/>
  <c r="H12" i="15"/>
  <c r="I5" i="15"/>
  <c r="H5" i="15"/>
  <c r="F23" i="15"/>
  <c r="E23" i="15"/>
  <c r="D23" i="15"/>
  <c r="E106" i="1" l="1"/>
  <c r="B39" i="26"/>
  <c r="E104" i="1"/>
  <c r="B37" i="26"/>
  <c r="E108" i="1"/>
  <c r="B41" i="26"/>
  <c r="E103" i="1"/>
  <c r="B36" i="26"/>
  <c r="E107" i="1"/>
  <c r="G107" i="1" s="1"/>
  <c r="B40" i="26"/>
  <c r="E102" i="1"/>
  <c r="B109" i="1"/>
  <c r="B35" i="26"/>
  <c r="E105" i="1"/>
  <c r="B38" i="26"/>
  <c r="E101" i="1"/>
  <c r="E101" i="5"/>
  <c r="A2" i="15"/>
  <c r="B2" i="15" s="1"/>
  <c r="C2" i="15" s="1"/>
  <c r="E2" i="15" s="1"/>
  <c r="F2" i="15" s="1"/>
  <c r="I23" i="15"/>
  <c r="G105" i="1" l="1"/>
  <c r="G38" i="26" s="1"/>
  <c r="E38" i="26"/>
  <c r="E34" i="26"/>
  <c r="G102" i="1"/>
  <c r="G35" i="26" s="1"/>
  <c r="E35" i="26"/>
  <c r="G103" i="1"/>
  <c r="G36" i="26" s="1"/>
  <c r="E36" i="26"/>
  <c r="G104" i="1"/>
  <c r="G37" i="26" s="1"/>
  <c r="E37" i="26"/>
  <c r="B42" i="26"/>
  <c r="B45" i="26" s="1"/>
  <c r="G108" i="1"/>
  <c r="G41" i="26" s="1"/>
  <c r="E41" i="26"/>
  <c r="G106" i="1"/>
  <c r="G39" i="26" s="1"/>
  <c r="E39" i="26"/>
  <c r="G101" i="1"/>
  <c r="G101" i="5"/>
  <c r="G109" i="5" s="1"/>
  <c r="C3" i="15"/>
  <c r="E3" i="15" s="1"/>
  <c r="F3" i="15" s="1"/>
  <c r="G109" i="1" l="1"/>
  <c r="G34" i="26"/>
  <c r="E107" i="4"/>
  <c r="E40" i="26" l="1"/>
  <c r="E42" i="26" s="1"/>
  <c r="E109" i="4"/>
  <c r="G107" i="4"/>
  <c r="J95" i="4"/>
  <c r="I5" i="26" l="1"/>
  <c r="G109" i="17"/>
  <c r="G40" i="26"/>
  <c r="G109" i="2"/>
  <c r="G109" i="4"/>
  <c r="G42" i="26" l="1"/>
  <c r="G45" i="26" s="1"/>
  <c r="H5" i="26"/>
  <c r="C2" i="3"/>
  <c r="C66" i="3"/>
  <c r="B5" i="15"/>
  <c r="B23" i="15"/>
</calcChain>
</file>

<file path=xl/comments1.xml><?xml version="1.0" encoding="utf-8"?>
<comments xmlns="http://schemas.openxmlformats.org/spreadsheetml/2006/main">
  <authors>
    <author>Autor</author>
  </authors>
  <commentList>
    <comment ref="A100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<sst xmlns="http://schemas.openxmlformats.org/spreadsheetml/2006/main" count="2825" uniqueCount="248">
  <si>
    <t>número de árboles</t>
  </si>
  <si>
    <t>especie</t>
  </si>
  <si>
    <t>altura</t>
  </si>
  <si>
    <t>diámetro</t>
  </si>
  <si>
    <t>vitalidad</t>
  </si>
  <si>
    <t>M</t>
  </si>
  <si>
    <t>S</t>
  </si>
  <si>
    <t>Hermanado2</t>
  </si>
  <si>
    <t>Hermanado1</t>
  </si>
  <si>
    <t>Hermanado4</t>
  </si>
  <si>
    <t>C</t>
  </si>
  <si>
    <t>RAMIFICADO NO HERMANADO</t>
  </si>
  <si>
    <t>P</t>
  </si>
  <si>
    <t>D</t>
  </si>
  <si>
    <t>Ulex parviflorus…..</t>
  </si>
  <si>
    <t>ESTACA</t>
  </si>
  <si>
    <t>MM</t>
  </si>
  <si>
    <t>TOTAL</t>
  </si>
  <si>
    <t>ESTACA(8)</t>
  </si>
  <si>
    <t>MMPIE</t>
  </si>
  <si>
    <t>RAMIFICADO</t>
  </si>
  <si>
    <t>observaciones</t>
  </si>
  <si>
    <t>Fraxinus ornus</t>
  </si>
  <si>
    <t>Pinus halepensis</t>
  </si>
  <si>
    <t>Arbutus unedo</t>
  </si>
  <si>
    <t>Pinus pinaster</t>
  </si>
  <si>
    <t>Quercus ilex</t>
  </si>
  <si>
    <t>Quercus faginea</t>
  </si>
  <si>
    <t>Estratos</t>
  </si>
  <si>
    <t>Microhabitats</t>
  </si>
  <si>
    <t>CP</t>
  </si>
  <si>
    <t>Cavidades picidos</t>
  </si>
  <si>
    <t>OC</t>
  </si>
  <si>
    <t>Otras cavidades</t>
  </si>
  <si>
    <t>DH</t>
  </si>
  <si>
    <t>Daños y heridas</t>
  </si>
  <si>
    <t>CO</t>
  </si>
  <si>
    <t>Corteza</t>
  </si>
  <si>
    <t>Madera muerta</t>
  </si>
  <si>
    <t>FR</t>
  </si>
  <si>
    <t>formas de crecimiento</t>
  </si>
  <si>
    <t>HO</t>
  </si>
  <si>
    <t>Hongos</t>
  </si>
  <si>
    <t>EP</t>
  </si>
  <si>
    <t>Epifitas</t>
  </si>
  <si>
    <t>NI</t>
  </si>
  <si>
    <t>Nidos</t>
  </si>
  <si>
    <t>Rhamnus alaternus</t>
  </si>
  <si>
    <t>Acer opalus</t>
  </si>
  <si>
    <t>Phillyrea latifolia</t>
  </si>
  <si>
    <t>Phillyrea angustifolia</t>
  </si>
  <si>
    <t>Quercus coccifera</t>
  </si>
  <si>
    <t>Huecos</t>
  </si>
  <si>
    <t>Huella antigua</t>
  </si>
  <si>
    <t>Huella reciente</t>
  </si>
  <si>
    <t>CLARO DE 100 M3</t>
  </si>
  <si>
    <t>hueco 60 m3</t>
  </si>
  <si>
    <t>MM(10)</t>
  </si>
  <si>
    <t>SUMERGIDO</t>
  </si>
  <si>
    <t>DOMINADO</t>
  </si>
  <si>
    <t>DOMINANTE</t>
  </si>
  <si>
    <t>CODOMIANTE</t>
  </si>
  <si>
    <t>PREDOMINANTE</t>
  </si>
  <si>
    <t>Otras observaciones</t>
  </si>
  <si>
    <t>Especies arbustivas dominantes</t>
  </si>
  <si>
    <t>leyenda</t>
  </si>
  <si>
    <t>Juniperus oxycedrus</t>
  </si>
  <si>
    <t>Juniperus phoenicea</t>
  </si>
  <si>
    <t>C1</t>
  </si>
  <si>
    <t>B3</t>
  </si>
  <si>
    <t>A1</t>
  </si>
  <si>
    <t>B1</t>
  </si>
  <si>
    <t>B2</t>
  </si>
  <si>
    <t>c</t>
  </si>
  <si>
    <t>m</t>
  </si>
  <si>
    <t>s</t>
  </si>
  <si>
    <t>d</t>
  </si>
  <si>
    <t>bifurc</t>
  </si>
  <si>
    <t>p</t>
  </si>
  <si>
    <t>A2</t>
  </si>
  <si>
    <t>nido</t>
  </si>
  <si>
    <t>muerto</t>
  </si>
  <si>
    <t>mm</t>
  </si>
  <si>
    <t>mm suelo</t>
  </si>
  <si>
    <t>estaca</t>
  </si>
  <si>
    <t>8 estaca</t>
  </si>
  <si>
    <t>C2</t>
  </si>
  <si>
    <t>bifurcado estaca</t>
  </si>
  <si>
    <t>MM suelo</t>
  </si>
  <si>
    <t>A3</t>
  </si>
  <si>
    <t>rama rota</t>
  </si>
  <si>
    <t>muerta suelo</t>
  </si>
  <si>
    <t>bifurcado rama rota</t>
  </si>
  <si>
    <t>estqca menos el ultimo</t>
  </si>
  <si>
    <t>sum</t>
  </si>
  <si>
    <t>sumergida</t>
  </si>
  <si>
    <t>gap</t>
  </si>
  <si>
    <t>bifurcado</t>
  </si>
  <si>
    <t>mm pie</t>
  </si>
  <si>
    <t>gap 150 m2</t>
  </si>
  <si>
    <t>C5</t>
  </si>
  <si>
    <t>claro 100m2</t>
  </si>
  <si>
    <t>claro 100 m2</t>
  </si>
  <si>
    <t>hueco 50 m2</t>
  </si>
  <si>
    <t>A6</t>
  </si>
  <si>
    <t>B4</t>
  </si>
  <si>
    <t xml:space="preserve">estaca </t>
  </si>
  <si>
    <t>suelo</t>
  </si>
  <si>
    <t>bifur</t>
  </si>
  <si>
    <t>torcido</t>
  </si>
  <si>
    <t>2,5/5</t>
  </si>
  <si>
    <t>A4</t>
  </si>
  <si>
    <t>pie</t>
  </si>
  <si>
    <t>estacas</t>
  </si>
  <si>
    <t>bif</t>
  </si>
  <si>
    <t>claro 150 m2</t>
  </si>
  <si>
    <t>cavidad</t>
  </si>
  <si>
    <t>A5</t>
  </si>
  <si>
    <t>C4</t>
  </si>
  <si>
    <t>C6</t>
  </si>
  <si>
    <t>C3</t>
  </si>
  <si>
    <t>B5</t>
  </si>
  <si>
    <t>B6</t>
  </si>
  <si>
    <t>20 unidades</t>
  </si>
  <si>
    <t>10 unidades</t>
  </si>
  <si>
    <t>Hueco en el dosel por falta de suelo 10m2, diámetro promedio 125 (44 pies, 12,7cm2),112(3 pies 5,6cm2)y 130(1 pie 19 cm2)</t>
  </si>
  <si>
    <t>Lonicera implexa 6 m. muy gruesa,  Diámetro promedio 125 (57 pies  15cm2), 112(4 pies 14,75cm2), 43(2 pie 21 cm2), 46 (15 pie 6,3 cm2)</t>
  </si>
  <si>
    <t xml:space="preserve">Diámetro promedio 125 (49 pies  16cm2), 112(5 pies 9cm2), </t>
  </si>
  <si>
    <t>pies por ha</t>
  </si>
  <si>
    <t xml:space="preserve"> Diámetro promedio 125 (49 pies  13,4cm2), 112(4 pies 7,5cm2), 130 (11 pies  15,72 cm2), 46(1 pie 5 cm2)</t>
  </si>
  <si>
    <t>bifurcado y estaca</t>
  </si>
  <si>
    <t xml:space="preserve"> Diámetro promedio 125 (63 pies  16,3cm2), 112(5 pies 7,1cm2), 46(16 pie 7,6 cm2)</t>
  </si>
  <si>
    <t>estaca menos el ultimo</t>
  </si>
  <si>
    <t>gap 12estaca</t>
  </si>
  <si>
    <t>gap 13estaca</t>
  </si>
  <si>
    <t>Diámetro promedio 125 (56 pies  15,48cm2), 112(1 pies 6 cm2), 46(6 pies 5,83 cm2)</t>
  </si>
  <si>
    <t>Diámetro promedio 125 (55 pies  15,98 m2), 130(3 pies 17cm2),112(1 pies 7cm2)</t>
  </si>
  <si>
    <t>Diámetro promedio 125 (73 pies  13,53 m2), 46(4 pies 6,5cm2)</t>
  </si>
  <si>
    <t>Diámetro promedio 125 (68 pies  14,61 m2), 130 (1 pies 15 cm2), 112(2 pies 5cm2), 46( 7 pies  7cm2)</t>
  </si>
  <si>
    <t>Número de pies/ha</t>
  </si>
  <si>
    <t>Hermanado22</t>
  </si>
  <si>
    <t>Hermanado3</t>
  </si>
  <si>
    <t>Columna1</t>
  </si>
  <si>
    <t>apeado</t>
  </si>
  <si>
    <t>apeados</t>
  </si>
  <si>
    <t>apeo</t>
  </si>
  <si>
    <t>Total</t>
  </si>
  <si>
    <t>pies/ha</t>
  </si>
  <si>
    <t>númer arboles</t>
  </si>
  <si>
    <t>APEADO</t>
  </si>
  <si>
    <t>C.D.</t>
  </si>
  <si>
    <t>Nº pies inventariado</t>
  </si>
  <si>
    <t>Nº pies/ha</t>
  </si>
  <si>
    <t>AB pie (m²)</t>
  </si>
  <si>
    <t>AB (m2) /ha</t>
  </si>
  <si>
    <t>DIAMETRO MEDIO (cm)</t>
  </si>
  <si>
    <t>DIAMETRO MEDIO (mm)</t>
  </si>
  <si>
    <t>ALTURA MEDIA (m)</t>
  </si>
  <si>
    <t>VCC por pie (m3)</t>
  </si>
  <si>
    <t>VCC (m3/ha)</t>
  </si>
  <si>
    <t>CRECIMIENTO 10 AÑOS</t>
  </si>
  <si>
    <t>DIAM CRECI</t>
  </si>
  <si>
    <t>VCC + CRE pie m3</t>
  </si>
  <si>
    <t>IAVC por pie m³ 10 AÑOS</t>
  </si>
  <si>
    <t xml:space="preserve">IAVC m³/ha </t>
  </si>
  <si>
    <t>FORMA DE CUBICACION 2 &gt;20CM</t>
  </si>
  <si>
    <t>VLE (m³)</t>
  </si>
  <si>
    <t>VLE/HA (m³/ha)</t>
  </si>
  <si>
    <t>VLE +CRE pie</t>
  </si>
  <si>
    <t>IAVLE (m³/ha)</t>
  </si>
  <si>
    <t>BIOMASA KG/PIE</t>
  </si>
  <si>
    <t>BIOM TN/HA</t>
  </si>
  <si>
    <t>q</t>
  </si>
  <si>
    <t>r</t>
  </si>
  <si>
    <t>por CD</t>
  </si>
  <si>
    <t>total</t>
  </si>
  <si>
    <t>7,5&gt;12,4</t>
  </si>
  <si>
    <t>FORMA DE CUBICACION 3 &lt;20CM</t>
  </si>
  <si>
    <t>12,5&gt;17,4</t>
  </si>
  <si>
    <t>17,5&gt;22,4</t>
  </si>
  <si>
    <t>22,5&gt;27,4</t>
  </si>
  <si>
    <t>27,5&gt;32,4</t>
  </si>
  <si>
    <t>VLE</t>
  </si>
  <si>
    <t>32,5&gt;37,4</t>
  </si>
  <si>
    <t>37,5&gt;42,4</t>
  </si>
  <si>
    <t>42,5&gt;47,4</t>
  </si>
  <si>
    <t>47,5&gt;52,4</t>
  </si>
  <si>
    <t>52,5&gt;57,4</t>
  </si>
  <si>
    <t>57,5&gt;62,4</t>
  </si>
  <si>
    <t>TOTALES</t>
  </si>
  <si>
    <t>PINUS HALEPENSIS</t>
  </si>
  <si>
    <t>PARCELA 1</t>
  </si>
  <si>
    <t>Relación peso - humedad</t>
  </si>
  <si>
    <t>15 solo un hermano</t>
  </si>
  <si>
    <t>Hermanado 3</t>
  </si>
  <si>
    <t>Hermanado5</t>
  </si>
  <si>
    <t>Quercus coccifera, Ramnus alaternus,</t>
  </si>
  <si>
    <t>tumbado</t>
  </si>
  <si>
    <t>tocon?? Revisar si esta muerta</t>
  </si>
  <si>
    <t xml:space="preserve"> total </t>
  </si>
  <si>
    <t xml:space="preserve"> Total </t>
  </si>
  <si>
    <t>Diámetro promedio 125 (50 pies  15,9cm2), 112(3 pies 15,6cm2), 130 (1 pie 15 cm2), 46 (1 pie 5 cm2)</t>
  </si>
  <si>
    <t>Diámetro promedio 125 (48 pies  16,25cm2), 46(5 pies  6,4cm2)</t>
  </si>
  <si>
    <t>parcela testigo C2 Diámetro promedio 125 (35 pies  15,9cm2), 112(6 pies 6,16cm2), 46(8 pie 7 cm2)</t>
  </si>
  <si>
    <t>Diámetro promedio 125 (42 pies  14,98cm2), 112(5 pies 10,4cm2), 46(14 pies  8,7 cm2)</t>
  </si>
  <si>
    <t>Diámetro promedio 125 (29pies  14,26 cm2), 112(3 pies 5 cm2)</t>
  </si>
  <si>
    <t>NÚMERO DE PIES</t>
  </si>
  <si>
    <t>G (m2/ha.)</t>
  </si>
  <si>
    <t>Cd 17,5-22,5</t>
  </si>
  <si>
    <t>Cd 12,5-17,5</t>
  </si>
  <si>
    <t>Cd 22,5-27,5</t>
  </si>
  <si>
    <t>Cd 7,5-12,5</t>
  </si>
  <si>
    <t>Cd 2,5-7,5</t>
  </si>
  <si>
    <t>A.B (m 2) inicial</t>
  </si>
  <si>
    <t>AB m2</t>
  </si>
  <si>
    <t>AB (m2) final</t>
  </si>
  <si>
    <t>Area basimétrica m2/ha</t>
  </si>
  <si>
    <t>Volumen CC</t>
  </si>
  <si>
    <t>supercie parcela permanente (ha)</t>
  </si>
  <si>
    <t>nº de pies/ha</t>
  </si>
  <si>
    <t>nºpies/ha halepenis por hoyo</t>
  </si>
  <si>
    <t>Cd 27,5-32,5</t>
  </si>
  <si>
    <t>Cd 32,5-37,5</t>
  </si>
  <si>
    <t>Cd 37,5-42,5</t>
  </si>
  <si>
    <t>G m2/ha</t>
  </si>
  <si>
    <t>gn (m2)</t>
  </si>
  <si>
    <t>diametro medio  cm</t>
  </si>
  <si>
    <t>diametro medio cuadrático cm</t>
  </si>
  <si>
    <t>CLASES DIAMÉTRICAS</t>
  </si>
  <si>
    <t>CLASE DIAMETRICA</t>
  </si>
  <si>
    <t>nºpies/ha por hoyo(hermanados) Todas las espececis</t>
  </si>
  <si>
    <t>gn (m2)2</t>
  </si>
  <si>
    <t>ESPECIE</t>
  </si>
  <si>
    <t>TOTAL(ha.)</t>
  </si>
  <si>
    <t>superficie (ha.)</t>
  </si>
  <si>
    <t>nombre de la parcela</t>
  </si>
  <si>
    <t>totales apeados</t>
  </si>
  <si>
    <t>nºpies hermanados</t>
  </si>
  <si>
    <t>AB( m2)</t>
  </si>
  <si>
    <t>AB (m2)</t>
  </si>
  <si>
    <t>AB(m2)</t>
  </si>
  <si>
    <t>625m2 por 18 parcelas</t>
  </si>
  <si>
    <t>superfice de todas las parcelas ha</t>
  </si>
  <si>
    <t>Lonicera implexa 6 m. muy gruesa,  Diámetro promedio 125 (57  pies, 15cm2)46 (31 pies 6,32cm2) 43 (2 pies 21 cm2) 112( 4 pies,14,75 cm2).</t>
  </si>
  <si>
    <t>Diámetro promedio 125 (88 pies  14,4cm2), 112(2 pies 14cm2), 113(22 pies 22 cm2), 46(55pies 6,625 cm2), 43 (15pies 7,5cm2)</t>
  </si>
  <si>
    <t xml:space="preserve"> Diámetro promedio 125 (58 pies  14,25cm2), 112(4 pies 5,75cm2), 43(2 pie 14,5 cm2), 23 (2 pie 5 cm2)</t>
  </si>
  <si>
    <t xml:space="preserve">Ramoneo de Rhamnus alaternus, Diámetro promedio 125 (48 pies  14,89cm2), 46(6 pies 5,3cm2), </t>
  </si>
  <si>
    <t>Diámetro promedio 125 (31 pies  14,8cm2), 130 (5 pies 16,8 cm2), 112(6 pies 5,3cm2), 46(17 pies  6,88cm2)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</si>
</sst>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_-* #,##0.00\ _€_-;\-* #,##0.00\ _€_-;_-* &quot;-&quot;??\ _€_-;_-@_-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i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C0C0C0"/>
      </patternFill>
    </fill>
    <fill>
      <patternFill patternType="solid">
        <fgColor theme="6" tint="0.39997558519241921"/>
        <bgColor rgb="FF33CC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double">
        <color theme="9"/>
      </top>
      <bottom style="thin">
        <color theme="9"/>
      </bottom>
      <diagonal/>
    </border>
    <border>
      <left style="thin">
        <color auto="1"/>
      </left>
      <right style="thin">
        <color auto="1"/>
      </right>
      <top style="double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0" fillId="0" borderId="4" xfId="0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0" xfId="0" applyFont="1"/>
    <xf numFmtId="0" fontId="0" fillId="0" borderId="15" xfId="0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0" fillId="0" borderId="26" xfId="0" applyBorder="1"/>
    <xf numFmtId="0" fontId="0" fillId="0" borderId="19" xfId="0" applyFill="1" applyBorder="1" applyAlignment="1">
      <alignment horizontal="left" indent="1"/>
    </xf>
    <xf numFmtId="0" fontId="3" fillId="0" borderId="20" xfId="0" applyFont="1" applyFill="1" applyBorder="1" applyAlignment="1">
      <alignment horizontal="left" indent="1"/>
    </xf>
    <xf numFmtId="0" fontId="4" fillId="0" borderId="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0" borderId="29" xfId="0" applyFill="1" applyBorder="1"/>
    <xf numFmtId="0" fontId="0" fillId="0" borderId="30" xfId="0" applyBorder="1" applyAlignment="1">
      <alignment horizontal="center"/>
    </xf>
    <xf numFmtId="0" fontId="0" fillId="0" borderId="31" xfId="0" applyBorder="1"/>
    <xf numFmtId="43" fontId="0" fillId="0" borderId="30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28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3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33" xfId="0" applyFont="1" applyBorder="1" applyAlignment="1">
      <alignment horizontal="center"/>
    </xf>
    <xf numFmtId="0" fontId="2" fillId="0" borderId="33" xfId="0" applyFont="1" applyBorder="1"/>
    <xf numFmtId="0" fontId="0" fillId="0" borderId="33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34" xfId="0" applyBorder="1" applyAlignment="1"/>
    <xf numFmtId="0" fontId="2" fillId="0" borderId="2" xfId="0" applyFont="1" applyBorder="1" applyAlignment="1"/>
    <xf numFmtId="0" fontId="0" fillId="0" borderId="29" xfId="0" applyBorder="1" applyAlignment="1">
      <alignment horizontal="center"/>
    </xf>
    <xf numFmtId="0" fontId="0" fillId="0" borderId="0" xfId="0" applyFont="1" applyFill="1" applyBorder="1" applyAlignment="1"/>
    <xf numFmtId="43" fontId="0" fillId="4" borderId="0" xfId="1" applyFont="1" applyFill="1" applyBorder="1"/>
    <xf numFmtId="0" fontId="0" fillId="0" borderId="14" xfId="0" applyFill="1" applyBorder="1" applyAlignment="1">
      <alignment horizontal="center"/>
    </xf>
    <xf numFmtId="43" fontId="0" fillId="0" borderId="31" xfId="1" applyFont="1" applyBorder="1"/>
    <xf numFmtId="0" fontId="0" fillId="0" borderId="10" xfId="0" applyBorder="1" applyAlignment="1"/>
    <xf numFmtId="0" fontId="2" fillId="0" borderId="36" xfId="0" applyFont="1" applyBorder="1"/>
    <xf numFmtId="0" fontId="2" fillId="0" borderId="2" xfId="0" applyFont="1" applyFill="1" applyBorder="1"/>
    <xf numFmtId="0" fontId="1" fillId="0" borderId="37" xfId="0" applyFont="1" applyBorder="1" applyAlignment="1">
      <alignment horizontal="center"/>
    </xf>
    <xf numFmtId="0" fontId="2" fillId="0" borderId="38" xfId="0" applyFont="1" applyBorder="1"/>
    <xf numFmtId="0" fontId="1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/>
    <xf numFmtId="0" fontId="1" fillId="0" borderId="19" xfId="0" applyFont="1" applyBorder="1" applyAlignment="1">
      <alignment horizontal="center"/>
    </xf>
    <xf numFmtId="0" fontId="2" fillId="0" borderId="20" xfId="0" applyFont="1" applyFill="1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0" fillId="0" borderId="0" xfId="1" applyFont="1"/>
    <xf numFmtId="43" fontId="0" fillId="4" borderId="0" xfId="1" applyFont="1" applyFill="1" applyBorder="1" applyAlignment="1">
      <alignment horizontal="center"/>
    </xf>
    <xf numFmtId="43" fontId="5" fillId="0" borderId="0" xfId="0" applyNumberFormat="1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7" fillId="5" borderId="24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7" xfId="0" applyFont="1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6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8" xfId="0" applyNumberFormat="1" applyBorder="1"/>
    <xf numFmtId="164" fontId="0" fillId="0" borderId="18" xfId="0" applyNumberFormat="1" applyBorder="1"/>
    <xf numFmtId="166" fontId="0" fillId="0" borderId="18" xfId="0" applyNumberFormat="1" applyBorder="1"/>
    <xf numFmtId="1" fontId="0" fillId="0" borderId="1" xfId="0" applyNumberFormat="1" applyBorder="1" applyAlignment="1">
      <alignment horizontal="center"/>
    </xf>
    <xf numFmtId="1" fontId="0" fillId="0" borderId="18" xfId="0" applyNumberFormat="1" applyBorder="1"/>
    <xf numFmtId="2" fontId="0" fillId="0" borderId="0" xfId="0" applyNumberFormat="1"/>
    <xf numFmtId="165" fontId="0" fillId="0" borderId="0" xfId="0" applyNumberFormat="1"/>
    <xf numFmtId="0" fontId="9" fillId="0" borderId="8" xfId="0" applyFont="1" applyBorder="1"/>
    <xf numFmtId="2" fontId="0" fillId="0" borderId="3" xfId="0" applyNumberFormat="1" applyBorder="1"/>
    <xf numFmtId="164" fontId="0" fillId="0" borderId="42" xfId="0" applyNumberFormat="1" applyBorder="1"/>
    <xf numFmtId="0" fontId="9" fillId="0" borderId="3" xfId="0" applyFont="1" applyBorder="1"/>
    <xf numFmtId="2" fontId="0" fillId="0" borderId="5" xfId="0" applyNumberFormat="1" applyBorder="1"/>
    <xf numFmtId="164" fontId="0" fillId="0" borderId="5" xfId="0" applyNumberFormat="1" applyBorder="1"/>
    <xf numFmtId="165" fontId="0" fillId="0" borderId="9" xfId="0" applyNumberFormat="1" applyBorder="1" applyAlignment="1">
      <alignment horizontal="center"/>
    </xf>
    <xf numFmtId="2" fontId="0" fillId="0" borderId="39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42" xfId="0" applyNumberFormat="1" applyBorder="1"/>
    <xf numFmtId="0" fontId="9" fillId="0" borderId="37" xfId="0" applyFont="1" applyBorder="1"/>
    <xf numFmtId="0" fontId="9" fillId="0" borderId="17" xfId="0" applyFont="1" applyBorder="1"/>
    <xf numFmtId="0" fontId="9" fillId="0" borderId="19" xfId="0" applyFont="1" applyBorder="1"/>
    <xf numFmtId="166" fontId="0" fillId="0" borderId="42" xfId="0" applyNumberFormat="1" applyBorder="1"/>
    <xf numFmtId="0" fontId="7" fillId="6" borderId="3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" fontId="7" fillId="6" borderId="4" xfId="0" applyNumberFormat="1" applyFont="1" applyFill="1" applyBorder="1" applyAlignment="1">
      <alignment horizontal="center"/>
    </xf>
    <xf numFmtId="164" fontId="8" fillId="7" borderId="4" xfId="0" applyNumberFormat="1" applyFont="1" applyFill="1" applyBorder="1"/>
    <xf numFmtId="164" fontId="7" fillId="6" borderId="4" xfId="0" applyNumberFormat="1" applyFont="1" applyFill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6" borderId="4" xfId="0" applyNumberFormat="1" applyFont="1" applyFill="1" applyBorder="1" applyAlignment="1">
      <alignment horizontal="center"/>
    </xf>
    <xf numFmtId="2" fontId="7" fillId="0" borderId="43" xfId="0" applyNumberFormat="1" applyFont="1" applyFill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2" fontId="7" fillId="8" borderId="42" xfId="0" applyNumberFormat="1" applyFont="1" applyFill="1" applyBorder="1" applyAlignment="1">
      <alignment horizontal="center"/>
    </xf>
    <xf numFmtId="164" fontId="7" fillId="6" borderId="42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165" fontId="10" fillId="9" borderId="0" xfId="0" applyNumberFormat="1" applyFont="1" applyFill="1" applyAlignment="1">
      <alignment horizontal="center"/>
    </xf>
    <xf numFmtId="9" fontId="0" fillId="0" borderId="0" xfId="0" applyNumberFormat="1"/>
    <xf numFmtId="166" fontId="0" fillId="0" borderId="0" xfId="0" applyNumberFormat="1"/>
    <xf numFmtId="0" fontId="0" fillId="0" borderId="0" xfId="0" applyFont="1"/>
    <xf numFmtId="43" fontId="0" fillId="4" borderId="14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/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/>
    <xf numFmtId="43" fontId="0" fillId="0" borderId="0" xfId="0" applyNumberFormat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1" borderId="1" xfId="0" applyFill="1" applyBorder="1"/>
    <xf numFmtId="0" fontId="0" fillId="2" borderId="1" xfId="0" applyFill="1" applyBorder="1"/>
    <xf numFmtId="43" fontId="5" fillId="0" borderId="14" xfId="0" applyNumberFormat="1" applyFont="1" applyFill="1" applyBorder="1" applyAlignment="1">
      <alignment horizontal="center"/>
    </xf>
    <xf numFmtId="43" fontId="5" fillId="0" borderId="31" xfId="0" applyNumberFormat="1" applyFont="1" applyBorder="1"/>
    <xf numFmtId="43" fontId="0" fillId="0" borderId="30" xfId="0" applyNumberFormat="1" applyFont="1" applyFill="1" applyBorder="1" applyAlignment="1">
      <alignment horizontal="center"/>
    </xf>
    <xf numFmtId="43" fontId="0" fillId="0" borderId="14" xfId="0" applyNumberFormat="1" applyFont="1" applyFill="1" applyBorder="1" applyAlignment="1">
      <alignment horizontal="center"/>
    </xf>
    <xf numFmtId="43" fontId="0" fillId="0" borderId="31" xfId="0" applyNumberFormat="1" applyFont="1" applyBorder="1"/>
    <xf numFmtId="0" fontId="0" fillId="11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0" fontId="0" fillId="11" borderId="3" xfId="0" applyFill="1" applyBorder="1" applyAlignment="1">
      <alignment horizontal="center"/>
    </xf>
    <xf numFmtId="0" fontId="0" fillId="11" borderId="2" xfId="0" applyFill="1" applyBorder="1"/>
    <xf numFmtId="0" fontId="0" fillId="10" borderId="3" xfId="0" applyFill="1" applyBorder="1" applyAlignment="1">
      <alignment horizontal="center"/>
    </xf>
    <xf numFmtId="0" fontId="0" fillId="10" borderId="2" xfId="0" applyFill="1" applyBorder="1"/>
    <xf numFmtId="0" fontId="0" fillId="4" borderId="3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/>
    <xf numFmtId="43" fontId="0" fillId="0" borderId="7" xfId="0" applyNumberFormat="1" applyFont="1" applyBorder="1" applyAlignment="1">
      <alignment horizontal="center"/>
    </xf>
    <xf numFmtId="43" fontId="0" fillId="0" borderId="7" xfId="0" applyNumberFormat="1" applyFont="1" applyFill="1" applyBorder="1" applyAlignment="1">
      <alignment horizontal="center"/>
    </xf>
    <xf numFmtId="43" fontId="0" fillId="0" borderId="10" xfId="0" applyNumberFormat="1" applyFont="1" applyFill="1" applyBorder="1" applyAlignment="1">
      <alignment horizontal="center"/>
    </xf>
    <xf numFmtId="43" fontId="0" fillId="0" borderId="4" xfId="0" applyNumberFormat="1" applyFont="1" applyBorder="1"/>
    <xf numFmtId="0" fontId="0" fillId="0" borderId="20" xfId="0" applyBorder="1"/>
    <xf numFmtId="0" fontId="0" fillId="4" borderId="15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20" xfId="0" applyFill="1" applyBorder="1"/>
    <xf numFmtId="0" fontId="0" fillId="10" borderId="17" xfId="0" applyFill="1" applyBorder="1" applyAlignment="1">
      <alignment horizontal="center"/>
    </xf>
    <xf numFmtId="0" fontId="0" fillId="10" borderId="18" xfId="0" applyFill="1" applyBorder="1"/>
    <xf numFmtId="0" fontId="1" fillId="10" borderId="1" xfId="0" applyFont="1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0" fillId="11" borderId="16" xfId="0" applyFill="1" applyBorder="1"/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4" xfId="0" applyFill="1" applyBorder="1"/>
    <xf numFmtId="0" fontId="0" fillId="4" borderId="45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12" borderId="17" xfId="0" applyFill="1" applyBorder="1" applyAlignment="1">
      <alignment horizontal="center"/>
    </xf>
    <xf numFmtId="0" fontId="0" fillId="12" borderId="18" xfId="0" applyFill="1" applyBorder="1"/>
    <xf numFmtId="0" fontId="0" fillId="11" borderId="17" xfId="0" applyFill="1" applyBorder="1" applyAlignment="1">
      <alignment horizontal="center"/>
    </xf>
    <xf numFmtId="0" fontId="0" fillId="11" borderId="18" xfId="0" applyFill="1" applyBorder="1"/>
    <xf numFmtId="0" fontId="0" fillId="0" borderId="29" xfId="0" applyBorder="1"/>
    <xf numFmtId="43" fontId="0" fillId="0" borderId="46" xfId="0" applyNumberFormat="1" applyFont="1" applyFill="1" applyBorder="1" applyAlignment="1">
      <alignment horizontal="center"/>
    </xf>
    <xf numFmtId="43" fontId="5" fillId="0" borderId="30" xfId="1" applyNumberFormat="1" applyFont="1" applyBorder="1" applyAlignment="1">
      <alignment horizontal="center"/>
    </xf>
    <xf numFmtId="43" fontId="5" fillId="0" borderId="30" xfId="1" applyNumberFormat="1" applyFont="1" applyFill="1" applyBorder="1" applyAlignment="1">
      <alignment horizontal="center"/>
    </xf>
    <xf numFmtId="0" fontId="0" fillId="0" borderId="0" xfId="0" applyNumberFormat="1" applyFont="1"/>
    <xf numFmtId="0" fontId="0" fillId="11" borderId="1" xfId="0" applyFill="1" applyBorder="1" applyAlignment="1"/>
    <xf numFmtId="43" fontId="0" fillId="4" borderId="45" xfId="1" applyFont="1" applyFill="1" applyBorder="1" applyAlignment="1">
      <alignment horizontal="center"/>
    </xf>
    <xf numFmtId="43" fontId="0" fillId="4" borderId="45" xfId="1" applyFont="1" applyFill="1" applyBorder="1"/>
    <xf numFmtId="0" fontId="0" fillId="0" borderId="45" xfId="0" applyBorder="1"/>
    <xf numFmtId="43" fontId="0" fillId="0" borderId="14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4" borderId="45" xfId="0" applyNumberFormat="1" applyFill="1" applyBorder="1" applyAlignment="1">
      <alignment horizontal="center"/>
    </xf>
    <xf numFmtId="0" fontId="0" fillId="2" borderId="1" xfId="0" applyFill="1" applyBorder="1" applyAlignment="1"/>
    <xf numFmtId="0" fontId="0" fillId="2" borderId="1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5" xfId="0" applyFill="1" applyBorder="1"/>
    <xf numFmtId="0" fontId="0" fillId="2" borderId="20" xfId="0" applyFill="1" applyBorder="1"/>
    <xf numFmtId="0" fontId="6" fillId="3" borderId="47" xfId="0" applyFont="1" applyFill="1" applyBorder="1"/>
    <xf numFmtId="0" fontId="0" fillId="13" borderId="1" xfId="0" applyFont="1" applyFill="1" applyBorder="1" applyAlignment="1">
      <alignment horizontal="center"/>
    </xf>
    <xf numFmtId="0" fontId="0" fillId="13" borderId="1" xfId="0" applyFont="1" applyFill="1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13" borderId="44" xfId="0" applyFont="1" applyFill="1" applyBorder="1" applyAlignment="1">
      <alignment horizontal="center"/>
    </xf>
    <xf numFmtId="0" fontId="0" fillId="13" borderId="44" xfId="0" applyFont="1" applyFill="1" applyBorder="1"/>
    <xf numFmtId="0" fontId="0" fillId="13" borderId="16" xfId="0" applyFill="1" applyBorder="1"/>
    <xf numFmtId="0" fontId="0" fillId="13" borderId="18" xfId="0" applyFill="1" applyBorder="1"/>
    <xf numFmtId="43" fontId="0" fillId="0" borderId="45" xfId="1" applyFont="1" applyBorder="1"/>
    <xf numFmtId="0" fontId="0" fillId="0" borderId="4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/>
    <xf numFmtId="0" fontId="0" fillId="0" borderId="46" xfId="0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43" fontId="5" fillId="0" borderId="46" xfId="1" applyNumberFormat="1" applyFont="1" applyFill="1" applyBorder="1" applyAlignment="1">
      <alignment horizontal="center"/>
    </xf>
    <xf numFmtId="43" fontId="0" fillId="0" borderId="29" xfId="1" applyFont="1" applyBorder="1"/>
    <xf numFmtId="43" fontId="0" fillId="4" borderId="44" xfId="1" applyFont="1" applyFill="1" applyBorder="1"/>
    <xf numFmtId="43" fontId="5" fillId="0" borderId="46" xfId="0" applyNumberFormat="1" applyFont="1" applyFill="1" applyBorder="1" applyAlignment="1">
      <alignment horizontal="center"/>
    </xf>
    <xf numFmtId="43" fontId="5" fillId="0" borderId="46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4" borderId="1" xfId="1" applyFont="1" applyFill="1" applyBorder="1"/>
    <xf numFmtId="43" fontId="0" fillId="11" borderId="1" xfId="1" applyFont="1" applyFill="1" applyBorder="1"/>
    <xf numFmtId="43" fontId="0" fillId="12" borderId="1" xfId="1" applyFont="1" applyFill="1" applyBorder="1"/>
    <xf numFmtId="43" fontId="0" fillId="10" borderId="1" xfId="1" applyFont="1" applyFill="1" applyBorder="1"/>
    <xf numFmtId="0" fontId="0" fillId="14" borderId="51" xfId="0" applyFont="1" applyFill="1" applyBorder="1"/>
    <xf numFmtId="0" fontId="0" fillId="0" borderId="5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3" fontId="1" fillId="0" borderId="1" xfId="1" applyFont="1" applyBorder="1" applyAlignment="1"/>
    <xf numFmtId="43" fontId="1" fillId="0" borderId="1" xfId="1" applyFont="1" applyBorder="1"/>
    <xf numFmtId="0" fontId="6" fillId="3" borderId="52" xfId="0" applyFont="1" applyFill="1" applyBorder="1" applyAlignment="1">
      <alignment wrapText="1"/>
    </xf>
    <xf numFmtId="0" fontId="6" fillId="3" borderId="53" xfId="0" applyFont="1" applyFill="1" applyBorder="1" applyAlignment="1">
      <alignment wrapText="1"/>
    </xf>
    <xf numFmtId="0" fontId="6" fillId="3" borderId="54" xfId="0" applyFont="1" applyFill="1" applyBorder="1" applyAlignment="1">
      <alignment wrapText="1"/>
    </xf>
    <xf numFmtId="0" fontId="0" fillId="0" borderId="52" xfId="0" applyFont="1" applyBorder="1"/>
    <xf numFmtId="0" fontId="0" fillId="0" borderId="53" xfId="0" applyFont="1" applyBorder="1"/>
    <xf numFmtId="43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1" applyNumberFormat="1" applyFont="1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 applyAlignment="1">
      <alignment horizontal="center"/>
    </xf>
    <xf numFmtId="43" fontId="1" fillId="0" borderId="56" xfId="0" applyNumberFormat="1" applyFont="1" applyBorder="1" applyAlignment="1">
      <alignment horizontal="center"/>
    </xf>
    <xf numFmtId="0" fontId="5" fillId="0" borderId="46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3" fontId="0" fillId="0" borderId="46" xfId="0" applyNumberFormat="1" applyFont="1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6" fillId="3" borderId="57" xfId="0" applyFont="1" applyFill="1" applyBorder="1" applyAlignment="1">
      <alignment wrapText="1"/>
    </xf>
    <xf numFmtId="0" fontId="0" fillId="0" borderId="0" xfId="0" applyFont="1" applyBorder="1"/>
    <xf numFmtId="0" fontId="0" fillId="0" borderId="46" xfId="0" applyFont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43" fontId="0" fillId="14" borderId="1" xfId="1" applyNumberFormat="1" applyFont="1" applyFill="1" applyBorder="1" applyAlignment="1">
      <alignment horizontal="center"/>
    </xf>
    <xf numFmtId="0" fontId="6" fillId="3" borderId="58" xfId="0" applyFont="1" applyFill="1" applyBorder="1" applyAlignment="1">
      <alignment wrapText="1"/>
    </xf>
    <xf numFmtId="0" fontId="6" fillId="3" borderId="59" xfId="0" applyFont="1" applyFill="1" applyBorder="1" applyAlignment="1">
      <alignment wrapText="1"/>
    </xf>
    <xf numFmtId="43" fontId="0" fillId="0" borderId="0" xfId="0" applyNumberFormat="1" applyAlignment="1">
      <alignment horizontal="center"/>
    </xf>
    <xf numFmtId="0" fontId="0" fillId="15" borderId="0" xfId="0" applyFont="1" applyFill="1"/>
    <xf numFmtId="43" fontId="0" fillId="15" borderId="0" xfId="1" applyNumberFormat="1" applyFont="1" applyFill="1"/>
    <xf numFmtId="43" fontId="0" fillId="0" borderId="0" xfId="1" applyNumberFormat="1" applyFont="1"/>
    <xf numFmtId="165" fontId="0" fillId="0" borderId="2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43" fontId="0" fillId="0" borderId="0" xfId="0" applyNumberFormat="1" applyFont="1" applyBorder="1"/>
    <xf numFmtId="0" fontId="0" fillId="0" borderId="60" xfId="0" applyFont="1" applyBorder="1"/>
    <xf numFmtId="0" fontId="0" fillId="0" borderId="5" xfId="0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0" fillId="4" borderId="0" xfId="0" applyFill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/>
    <xf numFmtId="43" fontId="0" fillId="0" borderId="22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6" fillId="3" borderId="61" xfId="0" applyFont="1" applyFill="1" applyBorder="1"/>
    <xf numFmtId="0" fontId="5" fillId="0" borderId="0" xfId="0" applyNumberFormat="1" applyFont="1"/>
    <xf numFmtId="43" fontId="0" fillId="0" borderId="46" xfId="1" applyFont="1" applyFill="1" applyBorder="1" applyAlignment="1">
      <alignment horizontal="center"/>
    </xf>
    <xf numFmtId="43" fontId="5" fillId="0" borderId="46" xfId="1" applyNumberFormat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4" borderId="5" xfId="1" applyFont="1" applyFill="1" applyBorder="1" applyAlignment="1">
      <alignment horizontal="center"/>
    </xf>
    <xf numFmtId="43" fontId="0" fillId="4" borderId="5" xfId="0" applyNumberFormat="1" applyFill="1" applyBorder="1" applyAlignment="1">
      <alignment horizontal="center"/>
    </xf>
    <xf numFmtId="43" fontId="0" fillId="4" borderId="0" xfId="0" applyNumberFormat="1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43" fontId="0" fillId="4" borderId="46" xfId="0" applyNumberFormat="1" applyFill="1" applyBorder="1" applyAlignment="1">
      <alignment horizontal="center"/>
    </xf>
    <xf numFmtId="43" fontId="5" fillId="0" borderId="46" xfId="0" applyNumberFormat="1" applyFont="1" applyBorder="1"/>
    <xf numFmtId="43" fontId="0" fillId="12" borderId="1" xfId="1" applyFont="1" applyFill="1" applyBorder="1" applyAlignment="1">
      <alignment horizontal="center"/>
    </xf>
    <xf numFmtId="43" fontId="0" fillId="11" borderId="1" xfId="1" applyFont="1" applyFill="1" applyBorder="1" applyAlignment="1">
      <alignment horizontal="center"/>
    </xf>
    <xf numFmtId="43" fontId="0" fillId="10" borderId="1" xfId="1" applyFont="1" applyFill="1" applyBorder="1" applyAlignment="1">
      <alignment horizontal="center"/>
    </xf>
    <xf numFmtId="43" fontId="0" fillId="13" borderId="44" xfId="1" applyFont="1" applyFill="1" applyBorder="1"/>
    <xf numFmtId="43" fontId="5" fillId="4" borderId="45" xfId="0" applyNumberFormat="1" applyFont="1" applyFill="1" applyBorder="1" applyAlignment="1">
      <alignment horizontal="center"/>
    </xf>
    <xf numFmtId="43" fontId="5" fillId="4" borderId="45" xfId="0" applyNumberFormat="1" applyFont="1" applyFill="1" applyBorder="1"/>
    <xf numFmtId="43" fontId="0" fillId="11" borderId="44" xfId="1" applyFont="1" applyFill="1" applyBorder="1" applyAlignment="1">
      <alignment horizontal="center"/>
    </xf>
    <xf numFmtId="43" fontId="5" fillId="4" borderId="46" xfId="0" applyNumberFormat="1" applyFont="1" applyFill="1" applyBorder="1" applyAlignment="1">
      <alignment horizontal="center"/>
    </xf>
    <xf numFmtId="43" fontId="5" fillId="4" borderId="46" xfId="0" applyNumberFormat="1" applyFont="1" applyFill="1" applyBorder="1"/>
    <xf numFmtId="43" fontId="5" fillId="4" borderId="0" xfId="0" applyNumberFormat="1" applyFont="1" applyFill="1" applyBorder="1"/>
    <xf numFmtId="43" fontId="5" fillId="4" borderId="0" xfId="0" applyNumberFormat="1" applyFont="1" applyFill="1" applyBorder="1" applyAlignment="1">
      <alignment horizontal="center"/>
    </xf>
    <xf numFmtId="43" fontId="5" fillId="4" borderId="31" xfId="0" applyNumberFormat="1" applyFont="1" applyFill="1" applyBorder="1"/>
    <xf numFmtId="43" fontId="5" fillId="4" borderId="5" xfId="0" applyNumberFormat="1" applyFont="1" applyFill="1" applyBorder="1" applyAlignment="1">
      <alignment horizontal="center"/>
    </xf>
    <xf numFmtId="43" fontId="5" fillId="4" borderId="20" xfId="0" applyNumberFormat="1" applyFont="1" applyFill="1" applyBorder="1"/>
    <xf numFmtId="0" fontId="0" fillId="0" borderId="46" xfId="0" applyFill="1" applyBorder="1" applyAlignment="1">
      <alignment horizontal="center"/>
    </xf>
    <xf numFmtId="43" fontId="0" fillId="11" borderId="1" xfId="0" applyNumberFormat="1" applyFill="1" applyBorder="1"/>
    <xf numFmtId="43" fontId="0" fillId="4" borderId="1" xfId="0" applyNumberFormat="1" applyFill="1" applyBorder="1"/>
    <xf numFmtId="43" fontId="0" fillId="2" borderId="1" xfId="0" applyNumberFormat="1" applyFill="1" applyBorder="1"/>
    <xf numFmtId="43" fontId="0" fillId="4" borderId="1" xfId="0" applyNumberForma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5" fillId="0" borderId="0" xfId="0" applyNumberFormat="1" applyFont="1" applyBorder="1"/>
    <xf numFmtId="43" fontId="5" fillId="0" borderId="14" xfId="0" applyNumberFormat="1" applyFont="1" applyBorder="1" applyAlignment="1">
      <alignment horizontal="center"/>
    </xf>
    <xf numFmtId="43" fontId="0" fillId="0" borderId="46" xfId="0" applyNumberFormat="1" applyFont="1" applyBorder="1"/>
    <xf numFmtId="43" fontId="5" fillId="0" borderId="0" xfId="0" applyNumberFormat="1" applyFont="1" applyBorder="1" applyAlignment="1">
      <alignment horizontal="center"/>
    </xf>
    <xf numFmtId="43" fontId="0" fillId="2" borderId="1" xfId="1" applyFont="1" applyFill="1" applyBorder="1"/>
    <xf numFmtId="43" fontId="0" fillId="2" borderId="45" xfId="1" applyFont="1" applyFill="1" applyBorder="1"/>
    <xf numFmtId="0" fontId="0" fillId="0" borderId="46" xfId="0" applyBorder="1"/>
    <xf numFmtId="0" fontId="0" fillId="4" borderId="8" xfId="0" applyFill="1" applyBorder="1"/>
    <xf numFmtId="0" fontId="0" fillId="0" borderId="46" xfId="0" applyFont="1" applyFill="1" applyBorder="1" applyAlignment="1">
      <alignment horizontal="center"/>
    </xf>
    <xf numFmtId="43" fontId="0" fillId="4" borderId="44" xfId="1" applyFont="1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7" fontId="0" fillId="14" borderId="1" xfId="0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43" fontId="0" fillId="15" borderId="0" xfId="1" applyFont="1" applyFill="1"/>
    <xf numFmtId="43" fontId="0" fillId="13" borderId="1" xfId="1" applyFont="1" applyFill="1" applyBorder="1"/>
    <xf numFmtId="43" fontId="0" fillId="13" borderId="1" xfId="1" applyFont="1" applyFill="1" applyBorder="1" applyAlignment="1">
      <alignment horizontal="center"/>
    </xf>
    <xf numFmtId="43" fontId="0" fillId="0" borderId="45" xfId="0" applyNumberFormat="1" applyFont="1" applyFill="1" applyBorder="1" applyAlignment="1">
      <alignment horizontal="center"/>
    </xf>
    <xf numFmtId="43" fontId="0" fillId="0" borderId="0" xfId="0" applyNumberFormat="1"/>
    <xf numFmtId="168" fontId="0" fillId="15" borderId="0" xfId="1" applyNumberFormat="1" applyFont="1" applyFill="1"/>
    <xf numFmtId="168" fontId="0" fillId="0" borderId="0" xfId="1" applyNumberFormat="1" applyFont="1"/>
    <xf numFmtId="43" fontId="5" fillId="0" borderId="0" xfId="0" applyNumberFormat="1" applyFont="1" applyAlignment="1">
      <alignment horizontal="center"/>
    </xf>
    <xf numFmtId="167" fontId="0" fillId="0" borderId="5" xfId="0" applyNumberFormat="1" applyFon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43" fontId="0" fillId="0" borderId="22" xfId="0" applyNumberFormat="1" applyBorder="1" applyAlignment="1">
      <alignment horizontal="center"/>
    </xf>
    <xf numFmtId="0" fontId="14" fillId="4" borderId="11" xfId="0" applyFont="1" applyFill="1" applyBorder="1"/>
    <xf numFmtId="0" fontId="14" fillId="4" borderId="13" xfId="0" applyFont="1" applyFill="1" applyBorder="1"/>
    <xf numFmtId="0" fontId="14" fillId="4" borderId="35" xfId="0" applyFont="1" applyFill="1" applyBorder="1"/>
    <xf numFmtId="43" fontId="0" fillId="4" borderId="0" xfId="0" applyNumberFormat="1" applyFont="1" applyFill="1" applyBorder="1" applyAlignment="1">
      <alignment horizontal="center"/>
    </xf>
    <xf numFmtId="43" fontId="5" fillId="4" borderId="0" xfId="1" applyNumberFormat="1" applyFont="1" applyFill="1" applyBorder="1" applyAlignment="1">
      <alignment horizontal="center"/>
    </xf>
    <xf numFmtId="43" fontId="5" fillId="4" borderId="0" xfId="1" applyNumberFormat="1" applyFont="1" applyFill="1" applyBorder="1"/>
    <xf numFmtId="0" fontId="0" fillId="4" borderId="1" xfId="0" applyNumberFormat="1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8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168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168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top style="thin">
          <color theme="9"/>
        </top>
        <bottom style="double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top style="thin">
          <color theme="9"/>
        </top>
        <bottom style="double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35" formatCode="_-* #,##0.00_-;\-* #,##0.00_-;_-* &quot;-&quot;??_-;_-@_-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7" formatCode="_-* #,##0.00\ _€_-;\-* #,##0.00\ _€_-;_-* &quot;-&quot;??\ _€_-;_-@_-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7" formatCode="_-* #,##0.00\ _€_-;\-* #,##0.00\ _€_-;_-* &quot;-&quot;??\ _€_-;_-@_-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7" formatCode="_-* #,##0.00\ _€_-;\-* #,##0.00\ _€_-;_-* &quot;-&quot;??\ _€_-;_-@_-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thin">
          <color rgb="FFA9D08E"/>
        </left>
        <top style="thin">
          <color rgb="FFA9D08E"/>
        </top>
        <bottom style="thin">
          <color rgb="FFA9D08E"/>
        </bottom>
      </border>
    </dxf>
    <dxf>
      <border outline="0">
        <bottom style="thin">
          <color rgb="FFA9D08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7/relationships/slicerCache" Target="slicerCaches/slicerCache4.xml"/><Relationship Id="rId39" Type="http://schemas.microsoft.com/office/2007/relationships/slicerCache" Target="slicerCaches/slicerCache17.xml"/><Relationship Id="rId21" Type="http://schemas.openxmlformats.org/officeDocument/2006/relationships/worksheet" Target="worksheets/sheet21.xml"/><Relationship Id="rId34" Type="http://schemas.microsoft.com/office/2007/relationships/slicerCache" Target="slicerCaches/slicerCache1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7/relationships/slicerCache" Target="slicerCaches/slicerCache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2.xml"/><Relationship Id="rId32" Type="http://schemas.microsoft.com/office/2007/relationships/slicerCache" Target="slicerCaches/slicerCache10.xml"/><Relationship Id="rId37" Type="http://schemas.microsoft.com/office/2007/relationships/slicerCache" Target="slicerCaches/slicerCache15.xml"/><Relationship Id="rId40" Type="http://schemas.microsoft.com/office/2007/relationships/slicerCache" Target="slicerCaches/slicerCache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1.xml"/><Relationship Id="rId28" Type="http://schemas.microsoft.com/office/2007/relationships/slicerCache" Target="slicerCaches/slicerCache6.xml"/><Relationship Id="rId36" Type="http://schemas.microsoft.com/office/2007/relationships/slicerCache" Target="slicerCaches/slicerCache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7/relationships/slicerCache" Target="slicerCaches/slicerCache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7/relationships/slicerCache" Target="slicerCaches/slicerCache5.xml"/><Relationship Id="rId30" Type="http://schemas.microsoft.com/office/2007/relationships/slicerCache" Target="slicerCaches/slicerCache8.xml"/><Relationship Id="rId35" Type="http://schemas.microsoft.com/office/2007/relationships/slicerCache" Target="slicerCaches/slicerCache13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7/relationships/slicerCache" Target="slicerCaches/slicerCache3.xml"/><Relationship Id="rId33" Type="http://schemas.microsoft.com/office/2007/relationships/slicerCache" Target="slicerCaches/slicerCache11.xml"/><Relationship Id="rId38" Type="http://schemas.microsoft.com/office/2007/relationships/slicerCache" Target="slicerCaches/slicerCache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432700</xdr:colOff>
      <xdr:row>0</xdr:row>
      <xdr:rowOff>0</xdr:rowOff>
    </xdr:from>
    <xdr:to>
      <xdr:col>15</xdr:col>
      <xdr:colOff>81262</xdr:colOff>
      <xdr:row>9</xdr:row>
      <xdr:rowOff>43710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74435" y="0"/>
              <a:ext cx="1520701" cy="17062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392546</xdr:colOff>
      <xdr:row>0</xdr:row>
      <xdr:rowOff>0</xdr:rowOff>
    </xdr:from>
    <xdr:to>
      <xdr:col>13</xdr:col>
      <xdr:colOff>497416</xdr:colOff>
      <xdr:row>5</xdr:row>
      <xdr:rowOff>92363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9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48637" y="0"/>
              <a:ext cx="1351779" cy="10217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210128</xdr:colOff>
      <xdr:row>31</xdr:row>
      <xdr:rowOff>33482</xdr:rowOff>
    </xdr:from>
    <xdr:to>
      <xdr:col>14</xdr:col>
      <xdr:colOff>207241</xdr:colOff>
      <xdr:row>44</xdr:row>
      <xdr:rowOff>163656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52219" y="5765800"/>
              <a:ext cx="1867477" cy="25316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577850</xdr:colOff>
      <xdr:row>3</xdr:row>
      <xdr:rowOff>79376</xdr:rowOff>
    </xdr:from>
    <xdr:to>
      <xdr:col>13</xdr:col>
      <xdr:colOff>539750</xdr:colOff>
      <xdr:row>8</xdr:row>
      <xdr:rowOff>111126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especie 1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17475" y="650876"/>
              <a:ext cx="1200150" cy="984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69272</xdr:colOff>
      <xdr:row>0</xdr:row>
      <xdr:rowOff>50223</xdr:rowOff>
    </xdr:from>
    <xdr:to>
      <xdr:col>15</xdr:col>
      <xdr:colOff>0</xdr:colOff>
      <xdr:row>6</xdr:row>
      <xdr:rowOff>98136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46181" y="50223"/>
              <a:ext cx="1177637" cy="11562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63500</xdr:colOff>
      <xdr:row>0</xdr:row>
      <xdr:rowOff>63500</xdr:rowOff>
    </xdr:from>
    <xdr:to>
      <xdr:col>15</xdr:col>
      <xdr:colOff>99867</xdr:colOff>
      <xdr:row>7</xdr:row>
      <xdr:rowOff>63500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029045" y="63500"/>
              <a:ext cx="1283277" cy="12988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173180</xdr:colOff>
      <xdr:row>0</xdr:row>
      <xdr:rowOff>0</xdr:rowOff>
    </xdr:from>
    <xdr:to>
      <xdr:col>13</xdr:col>
      <xdr:colOff>536863</xdr:colOff>
      <xdr:row>7</xdr:row>
      <xdr:rowOff>11545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17135" y="0"/>
              <a:ext cx="987137" cy="13046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207818</xdr:colOff>
      <xdr:row>0</xdr:row>
      <xdr:rowOff>131616</xdr:rowOff>
    </xdr:from>
    <xdr:to>
      <xdr:col>15</xdr:col>
      <xdr:colOff>36946</xdr:colOff>
      <xdr:row>5</xdr:row>
      <xdr:rowOff>173181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51954" y="131616"/>
              <a:ext cx="1076037" cy="965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395431</xdr:colOff>
      <xdr:row>0</xdr:row>
      <xdr:rowOff>28864</xdr:rowOff>
    </xdr:from>
    <xdr:to>
      <xdr:col>14</xdr:col>
      <xdr:colOff>178954</xdr:colOff>
      <xdr:row>5</xdr:row>
      <xdr:rowOff>46182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39204" y="28864"/>
              <a:ext cx="1030432" cy="94672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173182</xdr:colOff>
      <xdr:row>0</xdr:row>
      <xdr:rowOff>5773</xdr:rowOff>
    </xdr:from>
    <xdr:to>
      <xdr:col>15</xdr:col>
      <xdr:colOff>409864</xdr:colOff>
      <xdr:row>7</xdr:row>
      <xdr:rowOff>29441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40409" y="5773"/>
              <a:ext cx="1483591" cy="13225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571499</xdr:colOff>
      <xdr:row>0</xdr:row>
      <xdr:rowOff>0</xdr:rowOff>
    </xdr:from>
    <xdr:to>
      <xdr:col>14</xdr:col>
      <xdr:colOff>583045</xdr:colOff>
      <xdr:row>9</xdr:row>
      <xdr:rowOff>63500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31272" y="0"/>
              <a:ext cx="1258455" cy="17318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467590</xdr:colOff>
      <xdr:row>0</xdr:row>
      <xdr:rowOff>1</xdr:rowOff>
    </xdr:from>
    <xdr:to>
      <xdr:col>12</xdr:col>
      <xdr:colOff>1054677</xdr:colOff>
      <xdr:row>6</xdr:row>
      <xdr:rowOff>161637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38363" y="1"/>
              <a:ext cx="1210541" cy="12757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565727</xdr:colOff>
      <xdr:row>0</xdr:row>
      <xdr:rowOff>34636</xdr:rowOff>
    </xdr:from>
    <xdr:to>
      <xdr:col>13</xdr:col>
      <xdr:colOff>576117</xdr:colOff>
      <xdr:row>6</xdr:row>
      <xdr:rowOff>132772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6500" y="34636"/>
              <a:ext cx="1257299" cy="1206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63499</xdr:colOff>
      <xdr:row>0</xdr:row>
      <xdr:rowOff>0</xdr:rowOff>
    </xdr:from>
    <xdr:to>
      <xdr:col>13</xdr:col>
      <xdr:colOff>598632</xdr:colOff>
      <xdr:row>8</xdr:row>
      <xdr:rowOff>91785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51954" y="0"/>
              <a:ext cx="1158587" cy="15753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34638</xdr:colOff>
      <xdr:row>0</xdr:row>
      <xdr:rowOff>1</xdr:rowOff>
    </xdr:from>
    <xdr:to>
      <xdr:col>14</xdr:col>
      <xdr:colOff>536864</xdr:colOff>
      <xdr:row>4</xdr:row>
      <xdr:rowOff>144319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52320" y="1"/>
              <a:ext cx="1125680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207817</xdr:colOff>
      <xdr:row>0</xdr:row>
      <xdr:rowOff>0</xdr:rowOff>
    </xdr:from>
    <xdr:to>
      <xdr:col>14</xdr:col>
      <xdr:colOff>196273</xdr:colOff>
      <xdr:row>7</xdr:row>
      <xdr:rowOff>171016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17317" y="0"/>
              <a:ext cx="1235365" cy="1469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190501</xdr:colOff>
      <xdr:row>0</xdr:row>
      <xdr:rowOff>0</xdr:rowOff>
    </xdr:from>
    <xdr:to>
      <xdr:col>14</xdr:col>
      <xdr:colOff>524741</xdr:colOff>
      <xdr:row>5</xdr:row>
      <xdr:rowOff>150091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90683" y="0"/>
              <a:ext cx="957694" cy="107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617681</xdr:colOff>
      <xdr:row>0</xdr:row>
      <xdr:rowOff>0</xdr:rowOff>
    </xdr:from>
    <xdr:to>
      <xdr:col>14</xdr:col>
      <xdr:colOff>335972</xdr:colOff>
      <xdr:row>8</xdr:row>
      <xdr:rowOff>162213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e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81772" y="0"/>
              <a:ext cx="965200" cy="16458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SQUES%20MADUROS/menor%20bosques%20maduros/M&#201;TODOS%20PARA%20CUBICAR/2020/Subvenciones/Proyectos%20Subv%202020/Casa%20Blanca/PTGF_Casa_Blanca/INVENTARIO%20FINCA%20CASA%20BLANCA/Casa%20Blanca_Parcel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alepensis"/>
      <sheetName val="Pinaster"/>
      <sheetName val="Pinea"/>
      <sheetName val="Quercus"/>
      <sheetName val="Resultados"/>
      <sheetName val="Sheet1"/>
    </sheetNames>
    <sheetDataSet>
      <sheetData sheetId="0"/>
      <sheetData sheetId="1">
        <row r="9">
          <cell r="H9">
            <v>0</v>
          </cell>
          <cell r="I9" t="str">
            <v>0</v>
          </cell>
          <cell r="J9" t="str">
            <v>0</v>
          </cell>
        </row>
        <row r="10">
          <cell r="H10">
            <v>0</v>
          </cell>
          <cell r="I10" t="str">
            <v>0</v>
          </cell>
          <cell r="J10" t="str">
            <v>0</v>
          </cell>
        </row>
        <row r="11">
          <cell r="H11">
            <v>0</v>
          </cell>
          <cell r="I11" t="str">
            <v>0</v>
          </cell>
          <cell r="J11" t="str">
            <v>0</v>
          </cell>
        </row>
        <row r="12">
          <cell r="H12">
            <v>0</v>
          </cell>
          <cell r="I12" t="str">
            <v>0</v>
          </cell>
          <cell r="J12" t="str">
            <v>0</v>
          </cell>
        </row>
        <row r="13">
          <cell r="H13">
            <v>0</v>
          </cell>
          <cell r="I13" t="str">
            <v>0</v>
          </cell>
          <cell r="J13" t="str">
            <v>0</v>
          </cell>
        </row>
        <row r="14">
          <cell r="H14">
            <v>0</v>
          </cell>
          <cell r="I14" t="str">
            <v>0</v>
          </cell>
          <cell r="J14" t="str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" sourceName="especie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9" sourceName="especie">
  <extLst>
    <x:ext xmlns:x15="http://schemas.microsoft.com/office/spreadsheetml/2010/11/main" uri="{2F2917AC-EB37-4324-AD4E-5DD8C200BD13}">
      <x15:tableSlicerCache tableId="11" column="2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0" sourceName="especie">
  <extLst>
    <x:ext xmlns:x15="http://schemas.microsoft.com/office/spreadsheetml/2010/11/main" uri="{2F2917AC-EB37-4324-AD4E-5DD8C200BD13}">
      <x15:tableSlicerCache tableId="21" column="2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1" sourceName="especie">
  <extLst>
    <x:ext xmlns:x15="http://schemas.microsoft.com/office/spreadsheetml/2010/11/main" uri="{2F2917AC-EB37-4324-AD4E-5DD8C200BD13}">
      <x15:tableSlicerCache tableId="13" column="2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2" sourceName="especie">
  <extLst>
    <x:ext xmlns:x15="http://schemas.microsoft.com/office/spreadsheetml/2010/11/main" uri="{2F2917AC-EB37-4324-AD4E-5DD8C200BD13}">
      <x15:tableSlicerCache tableId="22" column="2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3" sourceName="especie">
  <extLst>
    <x:ext xmlns:x15="http://schemas.microsoft.com/office/spreadsheetml/2010/11/main" uri="{2F2917AC-EB37-4324-AD4E-5DD8C200BD13}">
      <x15:tableSlicerCache tableId="14" column="2"/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4" sourceName="especie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5" sourceName="especie">
  <extLst>
    <x:ext xmlns:x15="http://schemas.microsoft.com/office/spreadsheetml/2010/11/main" uri="{2F2917AC-EB37-4324-AD4E-5DD8C200BD13}">
      <x15:tableSlicerCache tableId="16" column="2"/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6" sourceName="especie">
  <extLst>
    <x:ext xmlns:x15="http://schemas.microsoft.com/office/spreadsheetml/2010/11/main" uri="{2F2917AC-EB37-4324-AD4E-5DD8C200BD13}">
      <x15:tableSlicerCache tableId="17" column="2"/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7" sourceName="especie">
  <extLst>
    <x:ext xmlns:x15="http://schemas.microsoft.com/office/spreadsheetml/2010/11/main" uri="{2F2917AC-EB37-4324-AD4E-5DD8C200BD13}">
      <x15:tableSlicerCache tableId="12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1" sourceName="especie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2" sourceName="especie">
  <extLst>
    <x:ext xmlns:x15="http://schemas.microsoft.com/office/spreadsheetml/2010/11/main" uri="{2F2917AC-EB37-4324-AD4E-5DD8C200BD13}">
      <x15:tableSlicerCache tableId="18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3" sourceName="especie">
  <extLst>
    <x:ext xmlns:x15="http://schemas.microsoft.com/office/spreadsheetml/2010/11/main" uri="{2F2917AC-EB37-4324-AD4E-5DD8C200BD13}">
      <x15:tableSlicerCache tableId="6" column="2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4" sourceName="especie">
  <extLst>
    <x:ext xmlns:x15="http://schemas.microsoft.com/office/spreadsheetml/2010/11/main" uri="{2F2917AC-EB37-4324-AD4E-5DD8C200BD13}">
      <x15:tableSlicerCache tableId="7" column="2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5" sourceName="especie">
  <extLst>
    <x:ext xmlns:x15="http://schemas.microsoft.com/office/spreadsheetml/2010/11/main" uri="{2F2917AC-EB37-4324-AD4E-5DD8C200BD13}">
      <x15:tableSlicerCache tableId="20" column="2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6" sourceName="especie">
  <extLst>
    <x:ext xmlns:x15="http://schemas.microsoft.com/office/spreadsheetml/2010/11/main" uri="{2F2917AC-EB37-4324-AD4E-5DD8C200BD13}">
      <x15:tableSlicerCache tableId="8" column="2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7" sourceName="especie">
  <extLst>
    <x:ext xmlns:x15="http://schemas.microsoft.com/office/spreadsheetml/2010/11/main" uri="{2F2917AC-EB37-4324-AD4E-5DD8C200BD13}">
      <x15:tableSlicerCache tableId="9" column="2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pecie8" sourceName="especie">
  <extLst>
    <x:ext xmlns:x15="http://schemas.microsoft.com/office/spreadsheetml/2010/11/main" uri="{2F2917AC-EB37-4324-AD4E-5DD8C200BD13}">
      <x15:tableSlicerCache tableId="1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" cache="SegmentaciónDeDatos_especie" caption="especie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9" cache="SegmentaciónDeDatos_especie9" caption="especi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0" cache="SegmentaciónDeDatos_especie10" caption="especie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7" cache="SegmentaciónDeDatos_especie17" caption="especi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1" cache="SegmentaciónDeDatos_especie11" caption="especie" rowHeight="241300"/>
</slicers>
</file>

<file path=xl/slicers/slicer1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2" cache="SegmentaciónDeDatos_especie12" caption="especie" rowHeight="241300"/>
</slicers>
</file>

<file path=xl/slicers/slicer15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3" cache="SegmentaciónDeDatos_especie13" caption="especie" rowHeight="241300"/>
</slicers>
</file>

<file path=xl/slicers/slicer16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4" cache="SegmentaciónDeDatos_especie14" caption="especie" rowHeight="241300"/>
</slicers>
</file>

<file path=xl/slicers/slicer17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5" cache="SegmentaciónDeDatos_especie15" caption="especie" rowHeight="241300"/>
</slicers>
</file>

<file path=xl/slicers/slicer18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6" cache="SegmentaciónDeDatos_especie16" caption="especie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1" cache="SegmentaciónDeDatos_especie1" caption="especi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3" cache="SegmentaciónDeDatos_especie3" caption="especi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4" cache="SegmentaciónDeDatos_especie4" caption="especie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2" cache="SegmentaciónDeDatos_especie2" caption="especie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5" cache="SegmentaciónDeDatos_especie5" caption="especie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6" cache="SegmentaciónDeDatos_especie6" caption="especie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7" cache="SegmentaciónDeDatos_especie7" caption="especi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ecie 8" cache="SegmentaciónDeDatos_especie8" caption="especie" rowHeight="241300"/>
</slicers>
</file>

<file path=xl/tables/table1.xml><?xml version="1.0" encoding="utf-8"?>
<table xmlns="http://schemas.openxmlformats.org/spreadsheetml/2006/main" id="41" name="Tabla2642" displayName="Tabla2642" ref="A33:J42" totalsRowCount="1" headerRowDxfId="805" headerRowBorderDxfId="804" tableBorderDxfId="803">
  <autoFilter ref="A33:J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 totalsRowDxfId="802"/>
    <tableColumn id="2" name="NÚMERO DE PIES" totalsRowFunction="custom" totalsRowDxfId="801">
      <totalsRowFormula>SUM(Tabla2642[NÚMERO DE PIES])</totalsRowFormula>
    </tableColumn>
    <tableColumn id="3" name="CLASE DIAMETRICA" totalsRowFunction="count" totalsRowDxfId="800"/>
    <tableColumn id="4" name="Columna1" totalsRowDxfId="799"/>
    <tableColumn id="5" name="pies/ha" totalsRowFunction="sum" dataDxfId="798" totalsRowDxfId="797">
      <calculatedColumnFormula>'A1'!E99+'A2'!E101+'A3'!E101+'A4'!E101+'A5'!E101+'A6'!E101+'B1'!E101+'B2'!E101+'B3'!E101+'B4'!E101+'B5'!E101+'B6'!E101+'C1'!E101+'C2'!E100+'C3'!E101+'C4'!E101+'C5'!E101+'C6'!E101</calculatedColumnFormula>
    </tableColumn>
    <tableColumn id="6" name="gn (m2)" totalsRowFunction="average" totalsRowDxfId="796">
      <calculatedColumnFormula>(PI()/4)*(C34/100)^2</calculatedColumnFormula>
    </tableColumn>
    <tableColumn id="7" name="G (m2/ha.)" totalsRowFunction="sum" dataDxfId="795" totalsRowDxfId="794">
      <calculatedColumnFormula>'A1'!G99+'A2'!G101+'A3'!G101+'A4'!G101+'A5'!G101+'A6'!G101+'B1'!G101+'B2'!G101+'B3'!G101+'B4'!G101+'B5'!G101+'B6'!G101+'C1'!G101+'C2'!G100+'C3'!G101+'C4'!G101+'C5'!G101+'C6'!G101</calculatedColumnFormula>
    </tableColumn>
    <tableColumn id="8" name="gn (m2)2" totalsRowDxfId="793"/>
    <tableColumn id="9" name="A.B (m 2) inicial"/>
    <tableColumn id="10" name="AB (m2) final" totalsRowFunction="sum"/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id="18" name="Tabla18" displayName="Tabla18" ref="A1:M61" totalsRowCount="1" dataDxfId="602" tableBorderDxfId="601">
  <autoFilter ref="A1:M60"/>
  <tableColumns count="13">
    <tableColumn id="1" name="número de árboles" totalsRowFunction="count" dataDxfId="600" totalsRowDxfId="599"/>
    <tableColumn id="2" name="especie" totalsRowLabel="total" dataDxfId="598" totalsRowDxfId="597"/>
    <tableColumn id="3" name="altura" totalsRowFunction="average" dataDxfId="596" totalsRowDxfId="595" dataCellStyle="Millares"/>
    <tableColumn id="4" name="diámetro" totalsRowFunction="average" dataDxfId="594" totalsRowDxfId="593" dataCellStyle="Millares"/>
    <tableColumn id="5" name="Hermanado1" totalsRowFunction="average" dataDxfId="592" totalsRowDxfId="591" dataCellStyle="Millares"/>
    <tableColumn id="6" name="Hermanado2" totalsRowFunction="average" dataDxfId="590" totalsRowDxfId="589" dataCellStyle="Millares"/>
    <tableColumn id="7" name="Hermanado3" totalsRowFunction="average" dataDxfId="588" totalsRowDxfId="587" dataCellStyle="Millares"/>
    <tableColumn id="8" name="Hermanado4" totalsRowFunction="average" dataDxfId="586" totalsRowDxfId="585" dataCellStyle="Millares"/>
    <tableColumn id="12" name="Hermanado5" dataDxfId="584"/>
    <tableColumn id="13" name="AB (m2)" dataDxfId="583" dataCellStyle="Millares">
      <calculatedColumnFormula>PI()*(((D2)/2)/100)^2+PI()*(((E2)/2)/100)^2+PI()*(((F2)/2)/100)^2+PI()*(((G2)/2)/100)^2+PI()*(((H2)/2)/100)^2+PI()*(((I2)/2)/100)^2</calculatedColumnFormula>
    </tableColumn>
    <tableColumn id="9" name="apeados" totalsRowFunction="sum" dataDxfId="582" totalsRowDxfId="581" dataCellStyle="Millares"/>
    <tableColumn id="10" name="vitalidad" dataDxfId="580" totalsRowDxfId="579" dataCellStyle="Millares"/>
    <tableColumn id="11" name="observaciones" totalsRowFunction="count" dataDxfId="578" totalsRowDxfId="577" dataCellStyle="Millares"/>
  </tableColumns>
  <tableStyleInfo name="TableStyleMedium21" showFirstColumn="0" showLastColumn="0" showRowStripes="1" showColumnStripes="0"/>
</table>
</file>

<file path=xl/tables/table11.xml><?xml version="1.0" encoding="utf-8"?>
<table xmlns="http://schemas.openxmlformats.org/spreadsheetml/2006/main" id="31" name="Tabla31" displayName="Tabla31" ref="A100:J109" totalsRowCount="1">
  <autoFilter ref="A100:J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/>
    <tableColumn id="2" name="NÚMERO DE PIES" totalsRowFunction="sum" totalsRowDxfId="576" dataCellStyle="Millares"/>
    <tableColumn id="3" name="CLASE DIAMETRICA" totalsRowFunction="count" totalsRowDxfId="575" dataCellStyle="Millares"/>
    <tableColumn id="4" name="Columna1" totalsRowDxfId="574" dataCellStyle="Millares"/>
    <tableColumn id="5" name="pies/ha" totalsRowFunction="sum" totalsRowDxfId="573" dataCellStyle="Millares">
      <calculatedColumnFormula>(B101*10000)/625</calculatedColumnFormula>
    </tableColumn>
    <tableColumn id="6" name="gn (m2)" totalsRowDxfId="572" dataCellStyle="Millares">
      <calculatedColumnFormula>(PI()/4)*(C101/100)^2</calculatedColumnFormula>
    </tableColumn>
    <tableColumn id="7" name="G (m2/ha.)" totalsRowFunction="sum" totalsRowDxfId="571" dataCellStyle="Millares">
      <calculatedColumnFormula>E101*F101</calculatedColumnFormula>
    </tableColumn>
    <tableColumn id="8" name="gn (m2)2" totalsRowDxfId="570" dataCellStyle="Millares"/>
    <tableColumn id="9" name="A.B (m 2) inicial" totalsRowDxfId="569"/>
    <tableColumn id="10" name="AB (m2) final" totalsRowFunction="count" totalsRowDxfId="568"/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id="20" name="Tabla20" displayName="Tabla20" ref="A1:M46" totalsRowCount="1" dataDxfId="567" totalsRowDxfId="565" tableBorderDxfId="566">
  <autoFilter ref="A1:M45"/>
  <tableColumns count="13">
    <tableColumn id="1" name="número de árboles" totalsRowFunction="count" dataDxfId="564" totalsRowDxfId="563"/>
    <tableColumn id="2" name="especie" totalsRowLabel=" Total " dataDxfId="562" totalsRowDxfId="561" dataCellStyle="Millares"/>
    <tableColumn id="3" name="altura" totalsRowFunction="average" dataDxfId="560" totalsRowDxfId="559" dataCellStyle="Millares"/>
    <tableColumn id="4" name="diámetro" totalsRowFunction="average" dataDxfId="558" totalsRowDxfId="557" dataCellStyle="Millares"/>
    <tableColumn id="5" name="Hermanado1" totalsRowFunction="average" dataDxfId="556" totalsRowDxfId="555" dataCellStyle="Millares"/>
    <tableColumn id="6" name="Hermanado2" totalsRowFunction="average" dataDxfId="554" totalsRowDxfId="553" dataCellStyle="Millares"/>
    <tableColumn id="7" name="Hermanado 3" dataDxfId="552" totalsRowDxfId="551" dataCellStyle="Millares"/>
    <tableColumn id="8" name="Hermanado4" dataDxfId="550" totalsRowDxfId="549" dataCellStyle="Millares"/>
    <tableColumn id="12" name="Hermanado5" dataDxfId="548"/>
    <tableColumn id="13" name="AB (m2)" dataDxfId="547" dataCellStyle="Millares">
      <calculatedColumnFormula>PI()*(((D2)/2)/100)^2+PI()*(((E2)/2)/100)^2+PI()*(((F2)/2)/100)^2+PI()*(((G2)/2)/100)^2+PI()*(((H2)/2)/100)^2+PI()*(((I2)/2)/100)^2</calculatedColumnFormula>
    </tableColumn>
    <tableColumn id="9" name="apeo" totalsRowFunction="sum" dataDxfId="546" totalsRowDxfId="545" dataCellStyle="Millares"/>
    <tableColumn id="10" name="vitalidad" dataDxfId="544" totalsRowDxfId="543" dataCellStyle="Millares"/>
    <tableColumn id="11" name="observaciones" totalsRowFunction="count" dataDxfId="542" totalsRowDxfId="541" dataCellStyle="Millares"/>
  </tableColumns>
  <tableStyleInfo name="TableStyleMedium21" showFirstColumn="0" showLastColumn="0" showRowStripes="1" showColumnStripes="0"/>
</table>
</file>

<file path=xl/tables/table13.xml><?xml version="1.0" encoding="utf-8"?>
<table xmlns="http://schemas.openxmlformats.org/spreadsheetml/2006/main" id="32" name="Tabla32" displayName="Tabla32" ref="A100:J109" totalsRowCount="1" headerRowDxfId="540" dataDxfId="538" headerRowBorderDxfId="539" tableBorderDxfId="537" dataCellStyle="Millares">
  <autoFilter ref="A100:J108"/>
  <tableColumns count="10">
    <tableColumn id="1" name="CLASES DIAMÉTRICAS" totalsRowLabel="Total" dataDxfId="536" totalsRowDxfId="535"/>
    <tableColumn id="2" name="NÚMERO DE PIES" totalsRowFunction="sum" dataDxfId="534" totalsRowDxfId="533" dataCellStyle="Millares"/>
    <tableColumn id="3" name="CLASE DIAMETRICA" dataDxfId="532" totalsRowDxfId="531" dataCellStyle="Millares"/>
    <tableColumn id="4" name="Columna1" dataDxfId="530" totalsRowDxfId="529" dataCellStyle="Millares"/>
    <tableColumn id="5" name="pies/ha" totalsRowFunction="sum" dataDxfId="528" totalsRowDxfId="527" dataCellStyle="Millares">
      <calculatedColumnFormula>(B101*10000)/625</calculatedColumnFormula>
    </tableColumn>
    <tableColumn id="6" name="gn (m2)" dataDxfId="526" totalsRowDxfId="525" dataCellStyle="Millares">
      <calculatedColumnFormula>(PI()/4)*(C101/100)^2</calculatedColumnFormula>
    </tableColumn>
    <tableColumn id="7" name="G (m2/ha.)" dataDxfId="524" totalsRowDxfId="523" dataCellStyle="Millares">
      <calculatedColumnFormula>E101*F101</calculatedColumnFormula>
    </tableColumn>
    <tableColumn id="8" name="gn (m2)2" dataDxfId="522" totalsRowDxfId="521" dataCellStyle="Millares"/>
    <tableColumn id="9" name="A.B (m 2) inicial" dataDxfId="520" totalsRowDxfId="519" dataCellStyle="Millares"/>
    <tableColumn id="10" name="AB (m2) final" totalsRowFunction="count" dataDxfId="518" totalsRowDxfId="517" dataCellStyle="Millares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8" name="Tabla8" displayName="Tabla8" ref="A1:M45" totalsRowCount="1" dataDxfId="516" tableBorderDxfId="515">
  <autoFilter ref="A1:M44"/>
  <tableColumns count="13">
    <tableColumn id="1" name="número de árboles" totalsRowFunction="count" dataDxfId="514" totalsRowDxfId="513"/>
    <tableColumn id="2" name="especie" totalsRowLabel="Total" dataDxfId="512" totalsRowDxfId="511"/>
    <tableColumn id="3" name="altura" totalsRowFunction="average" dataDxfId="510" totalsRowDxfId="509" dataCellStyle="Millares"/>
    <tableColumn id="4" name="diámetro" totalsRowFunction="average" dataDxfId="508" totalsRowDxfId="507" dataCellStyle="Millares"/>
    <tableColumn id="5" name="Hermanado1" totalsRowFunction="average" dataDxfId="506" totalsRowDxfId="505" dataCellStyle="Millares"/>
    <tableColumn id="6" name="Hermanado2" totalsRowFunction="average" dataDxfId="504" totalsRowDxfId="503" dataCellStyle="Millares"/>
    <tableColumn id="7" name="Hermanado3" totalsRowFunction="average" dataDxfId="502" totalsRowDxfId="501" dataCellStyle="Millares"/>
    <tableColumn id="8" name="Hermanado4" totalsRowFunction="average" dataDxfId="500" totalsRowDxfId="499" dataCellStyle="Millares"/>
    <tableColumn id="12" name="Hermanado5" totalsRowFunction="average" dataDxfId="498" totalsRowDxfId="497"/>
    <tableColumn id="13" name="AB m2" totalsRowFunction="sum" dataDxfId="496" totalsRowDxfId="495">
      <calculatedColumnFormula>PI()*(((D2)/2)/100)^2+PI()*(((E2)/2)/100)^2+PI()*(((F2)/2)/100)^2+PI()*(((G2)/2)/100)^2+PI()*(((H2)/2)/100)^2+PI()*(((I2)/2)/100)^2</calculatedColumnFormula>
    </tableColumn>
    <tableColumn id="9" name="apeo" totalsRowFunction="custom" dataDxfId="494" totalsRowDxfId="493" dataCellStyle="Millares">
      <totalsRowFormula>S27</totalsRowFormula>
    </tableColumn>
    <tableColumn id="10" name="vitalidad" dataDxfId="492" totalsRowDxfId="491" dataCellStyle="Millares"/>
    <tableColumn id="11" name="observaciones" totalsRowFunction="count" dataDxfId="490" totalsRowDxfId="489" dataCellStyle="Millares"/>
  </tableColumns>
  <tableStyleInfo name="TableStyleMedium21" showFirstColumn="0" showLastColumn="0" showRowStripes="1" showColumnStripes="0"/>
</table>
</file>

<file path=xl/tables/table15.xml><?xml version="1.0" encoding="utf-8"?>
<table xmlns="http://schemas.openxmlformats.org/spreadsheetml/2006/main" id="5" name="Tabla5" displayName="Tabla5" ref="A100:J109" totalsRowCount="1" headerRowDxfId="488">
  <autoFilter ref="A100:J108"/>
  <tableColumns count="10">
    <tableColumn id="1" name="CLASES DIAMÉTRICAS" totalsRowLabel="Total" dataDxfId="487" totalsRowDxfId="486"/>
    <tableColumn id="2" name="NÚMERO DE PIES" totalsRowFunction="sum" dataDxfId="485" totalsRowDxfId="484"/>
    <tableColumn id="3" name="CLASE DIAMETRICA" dataDxfId="483" totalsRowDxfId="482"/>
    <tableColumn id="4" name="Columna1" dataDxfId="481" totalsRowDxfId="480"/>
    <tableColumn id="5" name="pies/ha" totalsRowFunction="sum" dataDxfId="479" totalsRowDxfId="478">
      <calculatedColumnFormula>(B101*10000)/625</calculatedColumnFormula>
    </tableColumn>
    <tableColumn id="6" name="gn (m2)" dataDxfId="477" totalsRowDxfId="476" dataCellStyle="Millares">
      <calculatedColumnFormula>(PI()/4)*(C101/100)^2</calculatedColumnFormula>
    </tableColumn>
    <tableColumn id="7" name="G (m2/ha.)" totalsRowFunction="sum" dataDxfId="475" totalsRowDxfId="474" dataCellStyle="Millares">
      <calculatedColumnFormula>E101*F101</calculatedColumnFormula>
    </tableColumn>
    <tableColumn id="8" name="gn (m2)2" dataDxfId="473" totalsRowDxfId="472"/>
    <tableColumn id="9" name="A.B (m 2) inicial" dataDxfId="471" totalsRowDxfId="470"/>
    <tableColumn id="10" name="AB (m2) final" totalsRowFunction="count" dataDxfId="469" totalsRowDxfId="468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A1:M45" totalsRowCount="1" headerRowDxfId="467">
  <autoFilter ref="A1:M44"/>
  <tableColumns count="13">
    <tableColumn id="1" name="número de árboles" totalsRowFunction="count" dataDxfId="466" totalsRowDxfId="465"/>
    <tableColumn id="2" name="especie" totalsRowLabel="Total" dataDxfId="464" totalsRowDxfId="463"/>
    <tableColumn id="3" name="altura" totalsRowFunction="average" dataDxfId="462" totalsRowDxfId="461" dataCellStyle="Millares"/>
    <tableColumn id="4" name="diámetro" totalsRowFunction="average" dataDxfId="460" totalsRowDxfId="459" dataCellStyle="Millares"/>
    <tableColumn id="5" name="Hermanado1" totalsRowFunction="average" dataDxfId="458" totalsRowDxfId="457" dataCellStyle="Millares"/>
    <tableColumn id="6" name="Hermanado2" totalsRowFunction="average" dataDxfId="456" totalsRowDxfId="455" dataCellStyle="Millares"/>
    <tableColumn id="7" name="Hermanado3" totalsRowFunction="average" dataDxfId="454" totalsRowDxfId="453" dataCellStyle="Millares"/>
    <tableColumn id="11" name="Hermanado4" dataDxfId="452" totalsRowDxfId="451"/>
    <tableColumn id="12" name="Hermanado5" dataDxfId="450" totalsRowDxfId="449"/>
    <tableColumn id="13" name="AB (m2)" dataDxfId="448" totalsRowDxfId="447" dataCellStyle="Millares">
      <calculatedColumnFormula>PI()*(((D2)/2)/100)^2+PI()*(((E2)/2)/100)^2+PI()*(((F2)/2)/100)^2+PI()*(((G2)/2)/100)^2+PI()*(((H2)/2)/100)^2+PI()*(((I2)/2)/100)^2</calculatedColumnFormula>
    </tableColumn>
    <tableColumn id="8" name="APEADO" totalsRowFunction="sum" dataDxfId="446" totalsRowDxfId="445" dataCellStyle="Millares"/>
    <tableColumn id="9" name="vitalidad" dataDxfId="444" totalsRowDxfId="443" dataCellStyle="Millares"/>
    <tableColumn id="10" name="observaciones" dataDxfId="442" totalsRowDxfId="441" dataCellStyle="Millares"/>
  </tableColumns>
  <tableStyleInfo name="TableStyleMedium21" showFirstColumn="0" showLastColumn="0" showRowStripes="1" showColumnStripes="0"/>
</table>
</file>

<file path=xl/tables/table17.xml><?xml version="1.0" encoding="utf-8"?>
<table xmlns="http://schemas.openxmlformats.org/spreadsheetml/2006/main" id="19" name="Tabla19" displayName="Tabla19" ref="A100:J109" totalsRowCount="1" headerRowDxfId="440" dataDxfId="439" tableBorderDxfId="438">
  <autoFilter ref="A100:J108"/>
  <tableColumns count="10">
    <tableColumn id="1" name="CLASES DIAMÉTRICAS" totalsRowLabel="Total" dataDxfId="437" totalsRowDxfId="436"/>
    <tableColumn id="2" name="NÚMERO DE PIES" totalsRowFunction="sum" dataDxfId="435" totalsRowDxfId="434"/>
    <tableColumn id="3" name="CLASE DIAMETRICA" dataDxfId="433" totalsRowDxfId="432"/>
    <tableColumn id="4" name="Columna1" dataDxfId="431" totalsRowDxfId="430"/>
    <tableColumn id="5" name="pies/ha" totalsRowFunction="sum" dataDxfId="429" totalsRowDxfId="428">
      <calculatedColumnFormula>(B101*10000)/625</calculatedColumnFormula>
    </tableColumn>
    <tableColumn id="6" name="gn (m2)" dataDxfId="427" totalsRowDxfId="426" dataCellStyle="Millares">
      <calculatedColumnFormula>(PI()/4)*(C101/100)^2</calculatedColumnFormula>
    </tableColumn>
    <tableColumn id="7" name="G (m2/ha.)" totalsRowFunction="sum" dataDxfId="425" totalsRowDxfId="424" dataCellStyle="Millares">
      <calculatedColumnFormula>E101*F101</calculatedColumnFormula>
    </tableColumn>
    <tableColumn id="8" name="gn (m2)2" dataDxfId="423" totalsRowDxfId="422"/>
    <tableColumn id="9" name="A.B (m 2) inicial" dataDxfId="421" totalsRowDxfId="420"/>
    <tableColumn id="10" name="AB (m2) final" totalsRowFunction="count" dataDxfId="419" totalsRowDxfId="418"/>
  </tableColumns>
  <tableStyleInfo name="TableStyleMedium21" showFirstColumn="0" showLastColumn="0" showRowStripes="1" showColumnStripes="0"/>
</table>
</file>

<file path=xl/tables/table18.xml><?xml version="1.0" encoding="utf-8"?>
<table xmlns="http://schemas.openxmlformats.org/spreadsheetml/2006/main" id="10" name="Tabla10" displayName="Tabla10" ref="A1:M57" totalsRowCount="1" dataDxfId="417" tableBorderDxfId="416">
  <autoFilter ref="A1:M56"/>
  <tableColumns count="13">
    <tableColumn id="1" name="número de árboles" totalsRowFunction="count" dataDxfId="415" totalsRowDxfId="414"/>
    <tableColumn id="2" name="especie" totalsRowLabel="Total" dataDxfId="413" totalsRowDxfId="412"/>
    <tableColumn id="3" name="altura" totalsRowFunction="average" dataDxfId="411" totalsRowDxfId="410" dataCellStyle="Millares"/>
    <tableColumn id="4" name="diámetro" totalsRowFunction="average" dataDxfId="409" totalsRowDxfId="408" dataCellStyle="Millares"/>
    <tableColumn id="5" name="Hermanado1" totalsRowFunction="average" dataDxfId="407" totalsRowDxfId="406" dataCellStyle="Millares"/>
    <tableColumn id="6" name="Hermanado2" totalsRowFunction="average" dataDxfId="405" totalsRowDxfId="404" dataCellStyle="Millares"/>
    <tableColumn id="7" name="Hermanado22" dataDxfId="403" totalsRowDxfId="402" dataCellStyle="Millares"/>
    <tableColumn id="8" name="Hermanado4" dataDxfId="401" totalsRowDxfId="400" dataCellStyle="Millares"/>
    <tableColumn id="12" name="Hermanado5" dataDxfId="399" totalsRowDxfId="398" dataCellStyle="Millares"/>
    <tableColumn id="13" name="AB (m2)" dataDxfId="397" totalsRowDxfId="396" dataCellStyle="Millares">
      <calculatedColumnFormula>PI()*(((D2)/2)/100)^2+PI()*(((E2)/2)/100)^2+PI()*(((F2)/2)/100)^2+PI()*(((G2)/2)/100)^2+PI()*(((H2)/2)/100)^2+PI()*(((I2)/2)/100)^2</calculatedColumnFormula>
    </tableColumn>
    <tableColumn id="9" name="apeados" totalsRowFunction="sum" dataDxfId="395"/>
    <tableColumn id="10" name="vitalidad" dataDxfId="394" totalsRowDxfId="393"/>
    <tableColumn id="11" name="observaciones" totalsRowFunction="count" dataDxfId="392" totalsRowDxfId="391"/>
  </tableColumns>
  <tableStyleInfo name="TableStyleMedium21" showFirstColumn="0" showLastColumn="0" showRowStripes="1" showColumnStripes="0"/>
</table>
</file>

<file path=xl/tables/table19.xml><?xml version="1.0" encoding="utf-8"?>
<table xmlns="http://schemas.openxmlformats.org/spreadsheetml/2006/main" id="11" name="Tabla11" displayName="Tabla11" ref="A1:M56" totalsRowCount="1" dataDxfId="390" tableBorderDxfId="389">
  <autoFilter ref="A1:M55"/>
  <tableColumns count="13">
    <tableColumn id="1" name="número de árboles" totalsRowFunction="count" dataDxfId="388" totalsRowDxfId="387"/>
    <tableColumn id="2" name="especie" totalsRowLabel="Total" dataDxfId="386" totalsRowDxfId="385"/>
    <tableColumn id="3" name="altura" totalsRowFunction="average" dataDxfId="384" totalsRowDxfId="383" dataCellStyle="Millares"/>
    <tableColumn id="4" name="diámetro" totalsRowFunction="average" dataDxfId="382" totalsRowDxfId="381" dataCellStyle="Millares"/>
    <tableColumn id="5" name="Hermanado1" totalsRowFunction="average" dataDxfId="380" totalsRowDxfId="379" dataCellStyle="Millares"/>
    <tableColumn id="6" name="Hermanado2" totalsRowFunction="average" dataDxfId="378" totalsRowDxfId="377" dataCellStyle="Millares"/>
    <tableColumn id="7" name="Hermanado3" totalsRowFunction="average" dataDxfId="376" totalsRowDxfId="375" dataCellStyle="Millares"/>
    <tableColumn id="8" name="Hermanado4" dataDxfId="374" totalsRowDxfId="373" dataCellStyle="Millares"/>
    <tableColumn id="13" name="Hermanado5" dataDxfId="372" totalsRowDxfId="371"/>
    <tableColumn id="12" name="AB( m2)" dataDxfId="370" totalsRowDxfId="369" dataCellStyle="Millares">
      <calculatedColumnFormula>PI()*(((C2)/2)/100)^2+PI()*(((D2)/2)/100)^2+PI()*(((E2)/2)/100)^2+PI()*(((F2)/2)/100)^2+PI()*(((G2)/2)/100)^2+PI()*(((H2)/2)/100)^2</calculatedColumnFormula>
    </tableColumn>
    <tableColumn id="9" name="apeados" totalsRowFunction="sum" dataDxfId="368" totalsRowDxfId="367"/>
    <tableColumn id="10" name="vitalidad" dataDxfId="366" totalsRowDxfId="365"/>
    <tableColumn id="11" name="observaciones" totalsRowFunction="count" dataDxfId="364" totalsRowDxfId="363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M66" totalsRowCount="1">
  <autoFilter ref="A1:M65"/>
  <tableColumns count="13">
    <tableColumn id="1" name="númer arboles" totalsRowFunction="countNums" dataDxfId="792" totalsRowDxfId="791"/>
    <tableColumn id="2" name="especie" totalsRowLabel="TOTAL" dataDxfId="790" totalsRowDxfId="789"/>
    <tableColumn id="3" name="altura" totalsRowFunction="average" dataDxfId="788" totalsRowDxfId="787"/>
    <tableColumn id="4" name="diámetro" totalsRowFunction="average" dataDxfId="786" totalsRowDxfId="785"/>
    <tableColumn id="5" name="Hermanado1" totalsRowFunction="average" dataDxfId="784" totalsRowDxfId="783"/>
    <tableColumn id="6" name="Hermanado2" totalsRowFunction="average" dataDxfId="782" totalsRowDxfId="781"/>
    <tableColumn id="7" name="Hermanado3" totalsRowFunction="average" dataDxfId="780" totalsRowDxfId="779" dataCellStyle="Millares"/>
    <tableColumn id="8" name="Hermanado4" totalsRowFunction="average" dataDxfId="778" totalsRowDxfId="777"/>
    <tableColumn id="11" name="Hermanado5" dataDxfId="776" totalsRowDxfId="775"/>
    <tableColumn id="12" name="AB m2" totalsRowFunction="average" dataDxfId="774" totalsRowDxfId="773">
      <calculatedColumnFormula>PI()*(((D2)/2)/100)^2+PI()*(((E2)/2)/100)^2+PI()*(((F2)/2)/100)^2+PI()*(((G2)/2)/100)^2+PI()*(((H2)/2)/100)^2+PI()*(((I2)/2)/100)^2</calculatedColumnFormula>
    </tableColumn>
    <tableColumn id="14" name="apeado" totalsRowFunction="sum" dataDxfId="772" totalsRowDxfId="771"/>
    <tableColumn id="9" name="vitalidad" dataDxfId="770" totalsRowDxfId="769"/>
    <tableColumn id="10" name="observaciones" dataDxfId="768" totalsRowDxfId="767"/>
  </tableColumns>
  <tableStyleInfo name="TableStyleMedium21" showFirstColumn="0" showLastColumn="0" showRowStripes="1" showColumnStripes="0"/>
</table>
</file>

<file path=xl/tables/table20.xml><?xml version="1.0" encoding="utf-8"?>
<table xmlns="http://schemas.openxmlformats.org/spreadsheetml/2006/main" id="21" name="Tabla21" displayName="Tabla21" ref="A1:M69" totalsRowCount="1" dataDxfId="362" tableBorderDxfId="361">
  <autoFilter ref="A1:M68"/>
  <tableColumns count="13">
    <tableColumn id="1" name="número de árboles" totalsRowFunction="count" dataDxfId="360" totalsRowDxfId="359"/>
    <tableColumn id="2" name="especie" totalsRowLabel="Total" dataDxfId="358" totalsRowDxfId="357"/>
    <tableColumn id="3" name="altura" totalsRowFunction="average" dataDxfId="356" totalsRowDxfId="355" dataCellStyle="Millares"/>
    <tableColumn id="4" name="diámetro" totalsRowFunction="average" dataDxfId="354" totalsRowDxfId="353" dataCellStyle="Millares"/>
    <tableColumn id="5" name="Hermanado1" totalsRowFunction="average" dataDxfId="352" totalsRowDxfId="351" dataCellStyle="Millares"/>
    <tableColumn id="6" name="Hermanado2" totalsRowFunction="average" dataDxfId="350" totalsRowDxfId="349" dataCellStyle="Millares"/>
    <tableColumn id="7" name="Hermanado3" dataDxfId="348" totalsRowDxfId="347" dataCellStyle="Millares"/>
    <tableColumn id="8" name="Hermanado4" dataDxfId="346" totalsRowDxfId="345"/>
    <tableColumn id="13" name="Hermanado5" dataDxfId="344" totalsRowDxfId="343"/>
    <tableColumn id="12" name="AB (m2)" dataDxfId="342" totalsRowDxfId="341">
      <calculatedColumnFormula>PI()*(((C2)/2)/100)^2+PI()*(((D2)/2)/100)^2+PI()*(((E2)/2)/100)^2+PI()*(((F2)/2)/100)^2+PI()*(((G2)/2)/100)^2+PI()*(((H2)/2)/100)^2</calculatedColumnFormula>
    </tableColumn>
    <tableColumn id="9" name="apeo" totalsRowFunction="sum" dataDxfId="340" totalsRowDxfId="339"/>
    <tableColumn id="10" name="vitalidad" dataDxfId="338" totalsRowDxfId="337"/>
    <tableColumn id="11" name="observaciones" totalsRowFunction="count" dataDxfId="336" totalsRowDxfId="335"/>
  </tableColumns>
  <tableStyleInfo name="TableStyleMedium21" showFirstColumn="0" showLastColumn="0" showRowStripes="1" showColumnStripes="0"/>
</table>
</file>

<file path=xl/tables/table21.xml><?xml version="1.0" encoding="utf-8"?>
<table xmlns="http://schemas.openxmlformats.org/spreadsheetml/2006/main" id="24" name="Tabla24" displayName="Tabla24" ref="A100:J109" totalsRowCount="1" headerRowDxfId="334" dataDxfId="333" tableBorderDxfId="332">
  <autoFilter ref="A100:J108"/>
  <tableColumns count="10">
    <tableColumn id="1" name="CLASES DIAMÉTRICAS" totalsRowLabel="Total" dataDxfId="331" totalsRowDxfId="330"/>
    <tableColumn id="2" name="NÚMERO DE PIES" totalsRowFunction="sum" dataDxfId="329" totalsRowDxfId="328"/>
    <tableColumn id="3" name="CLASE DIAMETRICA" totalsRowFunction="count" dataDxfId="327" totalsRowDxfId="326"/>
    <tableColumn id="4" name="Columna1" dataDxfId="325" totalsRowDxfId="324"/>
    <tableColumn id="5" name="pies/ha" totalsRowFunction="sum" dataDxfId="323" totalsRowDxfId="322"/>
    <tableColumn id="6" name="gn (m2)" dataDxfId="321" totalsRowDxfId="320" dataCellStyle="Millares"/>
    <tableColumn id="7" name="G (m2/ha.)" totalsRowFunction="sum" dataDxfId="319" totalsRowDxfId="318" dataCellStyle="Millares"/>
    <tableColumn id="8" name="gn (m2)2" dataDxfId="317" totalsRowDxfId="316"/>
    <tableColumn id="9" name="A.B (m 2) inicial" dataDxfId="315" totalsRowDxfId="314"/>
    <tableColumn id="10" name="AB (m2) final" totalsRowFunction="sum" dataDxfId="313" totalsRowDxfId="312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a12" displayName="Tabla12" ref="A1:M50" totalsRowCount="1" dataDxfId="311" tableBorderDxfId="310">
  <autoFilter ref="A1:M49"/>
  <tableColumns count="13">
    <tableColumn id="1" name="número de árboles" totalsRowFunction="count" dataDxfId="309" totalsRowDxfId="308"/>
    <tableColumn id="2" name="especie" totalsRowLabel=" Total " dataDxfId="307" totalsRowDxfId="306" dataCellStyle="Millares"/>
    <tableColumn id="3" name="altura" totalsRowFunction="average" dataDxfId="305" totalsRowDxfId="304" dataCellStyle="Millares"/>
    <tableColumn id="4" name="diámetro" totalsRowFunction="average" dataDxfId="303" totalsRowDxfId="302" dataCellStyle="Millares"/>
    <tableColumn id="5" name="Hermanado1" totalsRowFunction="average" dataDxfId="301" totalsRowDxfId="300" dataCellStyle="Millares"/>
    <tableColumn id="6" name="Hermanado2" totalsRowFunction="average" dataDxfId="299" totalsRowDxfId="298" dataCellStyle="Millares"/>
    <tableColumn id="7" name="Hermanado 3" dataDxfId="297" totalsRowDxfId="296" dataCellStyle="Millares"/>
    <tableColumn id="8" name="Hermanado4" dataDxfId="295" totalsRowDxfId="294" dataCellStyle="Millares"/>
    <tableColumn id="12" name="Hermanado5" dataDxfId="293" totalsRowDxfId="292"/>
    <tableColumn id="13" name="AB (m2)" dataDxfId="291" totalsRowDxfId="290" dataCellStyle="Millares">
      <calculatedColumnFormula>PI()*(((C2)/2)/100)^2+PI()*(((D2)/2)/100)^2+PI()*(((E2)/2)/100)^2+PI()*(((F2)/2)/100)^2+PI()*(((G2)/2)/100)^2+PI()*(((H2)/2)/100)^2</calculatedColumnFormula>
    </tableColumn>
    <tableColumn id="9" name="apeados" totalsRowFunction="sum" dataDxfId="289" totalsRowDxfId="288" dataCellStyle="Millares"/>
    <tableColumn id="10" name="vitalidad" dataDxfId="287" totalsRowDxfId="286" dataCellStyle="Millares"/>
    <tableColumn id="11" name="observaciones" totalsRowFunction="count" dataDxfId="285" totalsRowDxfId="284"/>
  </tableColumns>
  <tableStyleInfo name="TableStyleMedium21" showFirstColumn="0" showLastColumn="0" showRowStripes="1" showColumnStripes="0"/>
</table>
</file>

<file path=xl/tables/table23.xml><?xml version="1.0" encoding="utf-8"?>
<table xmlns="http://schemas.openxmlformats.org/spreadsheetml/2006/main" id="25" name="Tabla25" displayName="Tabla25" ref="A100:J109" totalsRowCount="1" headerRowDxfId="283" dataDxfId="282" tableBorderDxfId="281">
  <autoFilter ref="A100:J108"/>
  <tableColumns count="10">
    <tableColumn id="1" name="CLASES DIAMÉTRICAS" totalsRowLabel="Total" dataDxfId="280" totalsRowDxfId="279"/>
    <tableColumn id="2" name="NÚMERO DE PIES" totalsRowFunction="sum" dataDxfId="278" totalsRowDxfId="277"/>
    <tableColumn id="3" name="CLASE DIAMETRICA" totalsRowFunction="count" dataDxfId="276" totalsRowDxfId="275"/>
    <tableColumn id="4" name="Columna1" dataDxfId="274" totalsRowDxfId="273"/>
    <tableColumn id="5" name="pies/ha" totalsRowFunction="sum" dataDxfId="272" totalsRowDxfId="271">
      <calculatedColumnFormula>(B101*10000)/625</calculatedColumnFormula>
    </tableColumn>
    <tableColumn id="6" name="gn (m2)" totalsRowFunction="average" dataDxfId="270" totalsRowDxfId="269" dataCellStyle="Millares">
      <calculatedColumnFormula>(PI()/4)*(C101/100)^2</calculatedColumnFormula>
    </tableColumn>
    <tableColumn id="7" name="G (m2/ha.)" totalsRowFunction="sum" dataDxfId="268" totalsRowDxfId="267" dataCellStyle="Millares">
      <calculatedColumnFormula>E101*F101</calculatedColumnFormula>
    </tableColumn>
    <tableColumn id="8" name="gn (m2)2" dataDxfId="266" totalsRowDxfId="265"/>
    <tableColumn id="9" name="A.B (m 2) inicial" dataDxfId="264" totalsRowDxfId="263"/>
    <tableColumn id="10" name="AB (m2) final" totalsRowFunction="count" dataDxfId="262" totalsRowDxfId="261"/>
  </tableColumns>
  <tableStyleInfo name="TableStyleMedium21" showFirstColumn="0" showLastColumn="0" showRowStripes="1" showColumnStripes="0"/>
</table>
</file>

<file path=xl/tables/table24.xml><?xml version="1.0" encoding="utf-8"?>
<table xmlns="http://schemas.openxmlformats.org/spreadsheetml/2006/main" id="13" name="Tabla13" displayName="Tabla13" ref="A1:M35" totalsRowCount="1" headerRowDxfId="260" tableBorderDxfId="259">
  <autoFilter ref="A1:M34"/>
  <tableColumns count="13">
    <tableColumn id="1" name="número de árboles" totalsRowFunction="count" dataDxfId="258" totalsRowDxfId="257"/>
    <tableColumn id="2" name="especie" totalsRowLabel="Total" dataDxfId="256" totalsRowDxfId="255"/>
    <tableColumn id="3" name="altura" totalsRowFunction="average" dataDxfId="254" totalsRowDxfId="253" dataCellStyle="Millares"/>
    <tableColumn id="4" name="diámetro" totalsRowFunction="average" dataDxfId="252" totalsRowDxfId="251" dataCellStyle="Millares"/>
    <tableColumn id="5" name="Hermanado1" totalsRowFunction="average" dataDxfId="250" totalsRowDxfId="249" dataCellStyle="Millares"/>
    <tableColumn id="6" name="Hermanado2" totalsRowFunction="average" dataDxfId="248" totalsRowDxfId="247" dataCellStyle="Millares"/>
    <tableColumn id="7" name="Hermanado3" totalsRowFunction="average" dataDxfId="246" totalsRowDxfId="245" dataCellStyle="Millares"/>
    <tableColumn id="8" name="Hermanado4" dataDxfId="244" totalsRowDxfId="243" dataCellStyle="Millares"/>
    <tableColumn id="11" name="Hermanado5" dataDxfId="242" totalsRowDxfId="241"/>
    <tableColumn id="12" name="AB(m2)" dataDxfId="240" totalsRowDxfId="239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238" totalsRowDxfId="237" dataCellStyle="Millares"/>
    <tableColumn id="9" name="vitalidad" dataDxfId="236" totalsRowDxfId="235"/>
    <tableColumn id="10" name="observaciones" totalsRowFunction="count" dataDxfId="234" totalsRowDxfId="23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33" name="Tabla33" displayName="Tabla33" ref="A100:J109" totalsRowCount="1" headerRowDxfId="232" dataDxfId="230" headerRowBorderDxfId="231" tableBorderDxfId="229">
  <autoFilter ref="A100:J108"/>
  <tableColumns count="10">
    <tableColumn id="1" name="CLASES DIAMÉTRICAS" totalsRowLabel="Total" dataDxfId="228" totalsRowDxfId="227"/>
    <tableColumn id="2" name="NÚMERO DE PIES" totalsRowFunction="sum" dataDxfId="226" totalsRowDxfId="225"/>
    <tableColumn id="3" name="CLASE DIAMETRICA" totalsRowFunction="count" dataDxfId="224" totalsRowDxfId="223"/>
    <tableColumn id="4" name="Columna1" dataDxfId="222" totalsRowDxfId="221"/>
    <tableColumn id="5" name="pies/ha" totalsRowFunction="sum" dataDxfId="220" totalsRowDxfId="219">
      <calculatedColumnFormula>(B101*10000)/625</calculatedColumnFormula>
    </tableColumn>
    <tableColumn id="6" name="gn (m2)" totalsRowFunction="average" dataDxfId="218" totalsRowDxfId="217" dataCellStyle="Millares">
      <calculatedColumnFormula>(PI()/4)*(C101/100)^2</calculatedColumnFormula>
    </tableColumn>
    <tableColumn id="7" name="G (m2/ha.)" totalsRowFunction="sum" dataDxfId="216" totalsRowDxfId="215" dataCellStyle="Millares">
      <calculatedColumnFormula>E101*F101</calculatedColumnFormula>
    </tableColumn>
    <tableColumn id="8" name="gn (m2)2" dataDxfId="214" totalsRowDxfId="213"/>
    <tableColumn id="9" name="A.B (m 2) inicial" dataDxfId="212" totalsRowDxfId="211"/>
    <tableColumn id="10" name="AB (m2) final" totalsRowFunction="count" dataDxfId="210" totalsRowDxfId="209"/>
  </tableColumns>
  <tableStyleInfo name="TableStyleMedium21" showFirstColumn="0" showLastColumn="0" showRowStripes="1" showColumnStripes="0"/>
</table>
</file>

<file path=xl/tables/table26.xml><?xml version="1.0" encoding="utf-8"?>
<table xmlns="http://schemas.openxmlformats.org/spreadsheetml/2006/main" id="22" name="Tabla22" displayName="Tabla22" ref="A1:M47" totalsRowCount="1" headerRowDxfId="208" dataDxfId="207" tableBorderDxfId="206">
  <autoFilter ref="A1:M46"/>
  <tableColumns count="13">
    <tableColumn id="1" name="número de árboles" totalsRowFunction="count" dataDxfId="205" totalsRowDxfId="204"/>
    <tableColumn id="2" name="especie" totalsRowLabel="Total" dataDxfId="203" totalsRowDxfId="202"/>
    <tableColumn id="3" name="altura" totalsRowFunction="average" dataDxfId="201" totalsRowDxfId="200" dataCellStyle="Millares"/>
    <tableColumn id="4" name="diámetro" totalsRowFunction="average" dataDxfId="199" totalsRowDxfId="198" dataCellStyle="Millares"/>
    <tableColumn id="5" name="Hermanado1" totalsRowFunction="average" dataDxfId="197" totalsRowDxfId="196" dataCellStyle="Millares"/>
    <tableColumn id="6" name="Hermanado2" totalsRowFunction="average" dataDxfId="195" totalsRowDxfId="194"/>
    <tableColumn id="7" name="Hermanado3" dataDxfId="193" totalsRowDxfId="192"/>
    <tableColumn id="8" name="Hermanado4" dataDxfId="191" totalsRowDxfId="190"/>
    <tableColumn id="11" name="Hermanado5" dataDxfId="189" totalsRowDxfId="188"/>
    <tableColumn id="12" name="AB (m2)" dataDxfId="187" totalsRowDxfId="186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185" totalsRowDxfId="184"/>
    <tableColumn id="9" name="vitalidad" dataDxfId="183" totalsRowDxfId="182"/>
    <tableColumn id="10" name="observaciones" totalsRowFunction="count" dataDxfId="181" totalsRowDxfId="180"/>
  </tableColumns>
  <tableStyleInfo name="TableStyleMedium21" showFirstColumn="0" showLastColumn="0" showRowStripes="1" showColumnStripes="0"/>
</table>
</file>

<file path=xl/tables/table27.xml><?xml version="1.0" encoding="utf-8"?>
<table xmlns="http://schemas.openxmlformats.org/spreadsheetml/2006/main" id="34" name="Tabla34" displayName="Tabla34" ref="A99:J108" totalsRowCount="1" headerRowDxfId="179" dataDxfId="178" totalsRowDxfId="177" headerRowCellStyle="Millares" dataCellStyle="Millares" totalsRowCellStyle="Millares">
  <autoFilter ref="A99:J107"/>
  <tableColumns count="10">
    <tableColumn id="1" name="CLASES DIAMÉTRICAS" totalsRowLabel="Total" dataDxfId="176" totalsRowDxfId="175" dataCellStyle="Millares"/>
    <tableColumn id="2" name="NÚMERO DE PIES" totalsRowFunction="sum" dataDxfId="174" totalsRowDxfId="173" dataCellStyle="Millares"/>
    <tableColumn id="3" name="CLASE DIAMETRICA" totalsRowFunction="sum" dataDxfId="172" totalsRowDxfId="171" dataCellStyle="Millares"/>
    <tableColumn id="4" name="Columna1" dataDxfId="170" totalsRowDxfId="169" dataCellStyle="Millares"/>
    <tableColumn id="5" name="pies/ha" totalsRowFunction="sum" dataDxfId="168" totalsRowDxfId="167" dataCellStyle="Millares">
      <calculatedColumnFormula>(B100*10000)/625</calculatedColumnFormula>
    </tableColumn>
    <tableColumn id="6" name="gn (m2)" totalsRowFunction="sum" dataDxfId="166" totalsRowDxfId="165" dataCellStyle="Millares">
      <calculatedColumnFormula>(PI()/4)*(C100/100)^2</calculatedColumnFormula>
    </tableColumn>
    <tableColumn id="7" name="G (m2/ha.)" totalsRowFunction="sum" dataDxfId="164" totalsRowDxfId="163" dataCellStyle="Millares">
      <calculatedColumnFormula>E100*F100</calculatedColumnFormula>
    </tableColumn>
    <tableColumn id="8" name="gn (m2)2" dataDxfId="162" totalsRowDxfId="161" dataCellStyle="Millares"/>
    <tableColumn id="9" name="A.B (m 2) inicial" dataDxfId="160" totalsRowDxfId="159" dataCellStyle="Millares"/>
    <tableColumn id="10" name="AB (m2) final" totalsRowFunction="sum" dataDxfId="158" totalsRowDxfId="157" dataCellStyle="Millares"/>
  </tableColumns>
  <tableStyleInfo name="TableStyleMedium21" showFirstColumn="0" showLastColumn="0" showRowStripes="1" showColumnStripes="0"/>
</table>
</file>

<file path=xl/tables/table28.xml><?xml version="1.0" encoding="utf-8"?>
<table xmlns="http://schemas.openxmlformats.org/spreadsheetml/2006/main" id="14" name="Tabla14" displayName="Tabla14" ref="A1:M60" totalsRowCount="1" headerRowDxfId="156" dataDxfId="155">
  <autoFilter ref="A1:M59"/>
  <tableColumns count="13">
    <tableColumn id="1" name="número de árboles" totalsRowFunction="count" dataDxfId="154" totalsRowDxfId="153"/>
    <tableColumn id="2" name="especie" totalsRowLabel="Total" dataDxfId="152" totalsRowDxfId="151"/>
    <tableColumn id="3" name="altura" totalsRowFunction="average" dataDxfId="150" totalsRowDxfId="149" dataCellStyle="Millares"/>
    <tableColumn id="4" name="diámetro" totalsRowFunction="average" dataDxfId="148" totalsRowDxfId="147" dataCellStyle="Millares"/>
    <tableColumn id="5" name="Hermanado1" totalsRowFunction="count" dataDxfId="146" totalsRowDxfId="145" dataCellStyle="Millares"/>
    <tableColumn id="6" name="Hermanado2" totalsRowFunction="count" dataDxfId="144" totalsRowDxfId="143" dataCellStyle="Millares"/>
    <tableColumn id="7" name="Hermanado3" totalsRowFunction="count" dataDxfId="142" totalsRowDxfId="141" dataCellStyle="Millares"/>
    <tableColumn id="8" name="Hermanado4" totalsRowFunction="average" dataDxfId="140" totalsRowDxfId="139" dataCellStyle="Millares"/>
    <tableColumn id="11" name="Hermanado5" dataDxfId="138" totalsRowDxfId="137"/>
    <tableColumn id="12" name="AB (m2)" dataDxfId="136" totalsRowDxfId="135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134" totalsRowDxfId="133"/>
    <tableColumn id="9" name="vitalidad" dataDxfId="132" totalsRowDxfId="131" dataCellStyle="Millares"/>
    <tableColumn id="10" name="observaciones" totalsRowFunction="count" dataDxfId="130" totalsRowDxfId="129" dataCellStyle="Millares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5" name="Tabla35" displayName="Tabla35" ref="A100:J109" totalsRowCount="1">
  <autoFilter ref="A100:J108"/>
  <tableColumns count="10">
    <tableColumn id="1" name="CLASES DIAMÉTRICAS" totalsRowLabel="Total"/>
    <tableColumn id="2" name="NÚMERO DE PIES" totalsRowFunction="sum" dataDxfId="128" totalsRowDxfId="127" dataCellStyle="Millares"/>
    <tableColumn id="3" name="CLASE DIAMETRICA" totalsRowFunction="count" dataDxfId="126" totalsRowDxfId="125" dataCellStyle="Millares"/>
    <tableColumn id="4" name="Columna1" totalsRowDxfId="124" dataCellStyle="Millares"/>
    <tableColumn id="5" name="pies/ha" totalsRowFunction="sum" totalsRowDxfId="123" dataCellStyle="Millares"/>
    <tableColumn id="6" name="gn (m2)" totalsRowFunction="average" totalsRowDxfId="122" dataCellStyle="Millares"/>
    <tableColumn id="7" name="G (m2/ha.)" totalsRowFunction="sum" totalsRowDxfId="121" dataCellStyle="Millares"/>
    <tableColumn id="8" name="gn (m2)2"/>
    <tableColumn id="9" name="A.B (m 2) inicial"/>
    <tableColumn id="10" name="AB (m2) final" totalsRowFunction="sum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26" name="Tabla26" displayName="Tabla26" ref="A98:J107" totalsRowCount="1" headerRowDxfId="766" headerRowBorderDxfId="765" tableBorderDxfId="764">
  <autoFilter ref="A98:J1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 totalsRowDxfId="763"/>
    <tableColumn id="2" name="NÚMERO DE PIES" totalsRowFunction="sum" totalsRowDxfId="762"/>
    <tableColumn id="3" name="CLASE DIAMETRICA" totalsRowFunction="count" totalsRowDxfId="761"/>
    <tableColumn id="4" name="Columna1" totalsRowDxfId="760"/>
    <tableColumn id="5" name="pies/ha" totalsRowFunction="sum" totalsRowDxfId="759">
      <calculatedColumnFormula>(B99*10000)/625</calculatedColumnFormula>
    </tableColumn>
    <tableColumn id="6" name="gn (m2)" totalsRowFunction="average" totalsRowDxfId="758">
      <calculatedColumnFormula>(PI()/4)*(C99/100)^2</calculatedColumnFormula>
    </tableColumn>
    <tableColumn id="7" name="G (m2/ha.)" totalsRowFunction="sum" totalsRowDxfId="757">
      <calculatedColumnFormula>E99*F99</calculatedColumnFormula>
    </tableColumn>
    <tableColumn id="8" name="gn (m2)2" totalsRowDxfId="756"/>
    <tableColumn id="9" name="A.B (m 2) inicial"/>
    <tableColumn id="10" name="AB (m2) final" totalsRowFunction="sum"/>
  </tableColumns>
  <tableStyleInfo name="TableStyleMedium21" showFirstColumn="0" showLastColumn="0" showRowStripes="1" showColumnStripes="0"/>
</table>
</file>

<file path=xl/tables/table30.xml><?xml version="1.0" encoding="utf-8"?>
<table xmlns="http://schemas.openxmlformats.org/spreadsheetml/2006/main" id="15" name="Tabla15" displayName="Tabla15" ref="A1:M60" totalsRowCount="1" headerRowDxfId="120" dataDxfId="119" tableBorderDxfId="118">
  <autoFilter ref="A1:M59"/>
  <tableColumns count="13">
    <tableColumn id="1" name="número de árboles" totalsRowFunction="count" dataDxfId="117" totalsRowDxfId="116"/>
    <tableColumn id="2" name="especie" totalsRowLabel="Total" dataDxfId="115" totalsRowDxfId="114"/>
    <tableColumn id="3" name="altura" totalsRowFunction="average" dataDxfId="113" totalsRowDxfId="112" dataCellStyle="Millares"/>
    <tableColumn id="4" name="diámetro" totalsRowFunction="average" dataDxfId="111" totalsRowDxfId="110" dataCellStyle="Millares"/>
    <tableColumn id="5" name="Hermanado1" totalsRowFunction="average" dataDxfId="109" totalsRowDxfId="108" dataCellStyle="Millares"/>
    <tableColumn id="6" name="Hermanado2" totalsRowFunction="average" dataDxfId="107" totalsRowDxfId="106" dataCellStyle="Millares"/>
    <tableColumn id="7" name="Hermanado3" totalsRowFunction="average" dataDxfId="105" totalsRowDxfId="104" dataCellStyle="Millares"/>
    <tableColumn id="8" name="Hermanado4" dataDxfId="103" totalsRowDxfId="102"/>
    <tableColumn id="12" name="Hermanado5" dataDxfId="101" totalsRowDxfId="100"/>
    <tableColumn id="11" name="AB (m2)" dataDxfId="99" totalsRowDxfId="98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97" totalsRowDxfId="96"/>
    <tableColumn id="9" name="vitalidad" dataDxfId="95" totalsRowDxfId="94"/>
    <tableColumn id="10" name="observaciones" totalsRowFunction="count" dataDxfId="93"/>
  </tableColumns>
  <tableStyleInfo name="TableStyleMedium21" showFirstColumn="0" showLastColumn="0" showRowStripes="1" showColumnStripes="0"/>
</table>
</file>

<file path=xl/tables/table31.xml><?xml version="1.0" encoding="utf-8"?>
<table xmlns="http://schemas.openxmlformats.org/spreadsheetml/2006/main" id="36" name="Tabla36" displayName="Tabla36" ref="A100:J109" totalsRowCount="1">
  <autoFilter ref="A100:J108"/>
  <tableColumns count="10">
    <tableColumn id="1" name="CLASES DIAMÉTRICAS" totalsRowLabel="Total"/>
    <tableColumn id="2" name="NÚMERO DE PIES" totalsRowFunction="sum" totalsRowDxfId="92" dataCellStyle="Millares"/>
    <tableColumn id="3" name="CLASE DIAMETRICA" totalsRowFunction="count" totalsRowDxfId="91" dataCellStyle="Millares"/>
    <tableColumn id="4" name="Columna1" totalsRowDxfId="90" dataCellStyle="Millares"/>
    <tableColumn id="5" name="pies/ha" totalsRowFunction="sum" totalsRowDxfId="89" dataCellStyle="Millares">
      <calculatedColumnFormula>(B101*10000)/625</calculatedColumnFormula>
    </tableColumn>
    <tableColumn id="6" name="gn (m2)" totalsRowFunction="average" totalsRowDxfId="88" dataCellStyle="Millares">
      <calculatedColumnFormula>(PI()/4)*(C101/100)^2</calculatedColumnFormula>
    </tableColumn>
    <tableColumn id="7" name="G (m2/ha.)" totalsRowFunction="average" totalsRowDxfId="87" dataCellStyle="Millares">
      <calculatedColumnFormula>E101*F101</calculatedColumnFormula>
    </tableColumn>
    <tableColumn id="8" name="gn (m2)2" totalsRowDxfId="86" dataCellStyle="Millares"/>
    <tableColumn id="9" name="A.B (m 2) inicial" totalsRowDxfId="85" dataCellStyle="Millares"/>
    <tableColumn id="10" name="AB (m2) final" totalsRowFunction="count" totalsRowDxfId="84" dataCellStyle="Millares"/>
  </tableColumns>
  <tableStyleInfo name="TableStyleMedium21" showFirstColumn="0" showLastColumn="0" showRowStripes="1" showColumnStripes="0"/>
</table>
</file>

<file path=xl/tables/table32.xml><?xml version="1.0" encoding="utf-8"?>
<table xmlns="http://schemas.openxmlformats.org/spreadsheetml/2006/main" id="16" name="Tabla16" displayName="Tabla16" ref="A1:M34" totalsRowCount="1" headerRowDxfId="83" dataDxfId="82" tableBorderDxfId="81">
  <autoFilter ref="A1:M33"/>
  <tableColumns count="13">
    <tableColumn id="1" name="número de árboles" totalsRowFunction="count" dataDxfId="80" totalsRowDxfId="79"/>
    <tableColumn id="2" name="especie" totalsRowLabel="Total" dataDxfId="78" totalsRowDxfId="77"/>
    <tableColumn id="3" name="altura" totalsRowFunction="average" dataDxfId="76" totalsRowDxfId="75" dataCellStyle="Millares"/>
    <tableColumn id="4" name="diámetro" totalsRowFunction="average" dataDxfId="74" totalsRowDxfId="73" dataCellStyle="Millares"/>
    <tableColumn id="5" name="Hermanado1" totalsRowFunction="average" dataDxfId="72" totalsRowDxfId="71" dataCellStyle="Millares"/>
    <tableColumn id="6" name="Hermanado2" totalsRowFunction="average" dataDxfId="70" totalsRowDxfId="69" dataCellStyle="Millares"/>
    <tableColumn id="7" name="Hermanado3" totalsRowFunction="average" dataDxfId="68" totalsRowDxfId="67" dataCellStyle="Millares"/>
    <tableColumn id="8" name="Hermanado4" dataDxfId="66" totalsRowDxfId="65" dataCellStyle="Millares"/>
    <tableColumn id="11" name="Hermanado5" dataDxfId="64" totalsRowDxfId="63"/>
    <tableColumn id="12" name="AB (m2)" dataDxfId="62" totalsRowDxfId="61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60" totalsRowDxfId="59"/>
    <tableColumn id="9" name="vitalidad" dataDxfId="58" totalsRowDxfId="57" dataCellStyle="Millares"/>
    <tableColumn id="10" name="observaciones" totalsRowFunction="count" dataDxfId="56" totalsRowDxfId="55" dataCellStyle="Millares"/>
  </tableColumns>
  <tableStyleInfo name="TableStyleMedium21" showFirstColumn="0" showLastColumn="0" showRowStripes="1" showColumnStripes="0"/>
</table>
</file>

<file path=xl/tables/table33.xml><?xml version="1.0" encoding="utf-8"?>
<table xmlns="http://schemas.openxmlformats.org/spreadsheetml/2006/main" id="37" name="Tabla37" displayName="Tabla37" ref="A100:J109" totalsRowCount="1">
  <autoFilter ref="A100:J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/>
    <tableColumn id="2" name="NÚMERO DE PIES" totalsRowFunction="sum"/>
    <tableColumn id="3" name="CLASE DIAMETRICA" totalsRowFunction="count"/>
    <tableColumn id="4" name="Columna1"/>
    <tableColumn id="5" name="pies/ha" totalsRowFunction="sum">
      <calculatedColumnFormula>(B101*10000)/625</calculatedColumnFormula>
    </tableColumn>
    <tableColumn id="6" name="gn (m2)" totalsRowFunction="average" dataDxfId="54" totalsRowDxfId="53">
      <calculatedColumnFormula>(PI()/4)*(C101/100)^2</calculatedColumnFormula>
    </tableColumn>
    <tableColumn id="7" name="G (m2/ha.)" totalsRowFunction="sum" dataDxfId="52" totalsRowDxfId="51">
      <calculatedColumnFormula>E101*F101</calculatedColumnFormula>
    </tableColumn>
    <tableColumn id="8" name="gn (m2)2"/>
    <tableColumn id="9" name="A.B (m 2) inicial"/>
    <tableColumn id="10" name="AB (m2) final" totalsRowFunction="count"/>
  </tableColumns>
  <tableStyleInfo name="TableStyleMedium21" showFirstColumn="0" showLastColumn="0" showRowStripes="1" showColumnStripes="0"/>
</table>
</file>

<file path=xl/tables/table34.xml><?xml version="1.0" encoding="utf-8"?>
<table xmlns="http://schemas.openxmlformats.org/spreadsheetml/2006/main" id="17" name="Tabla17" displayName="Tabla17" ref="A1:M56" totalsRowCount="1" headerRowDxfId="50" dataDxfId="49" tableBorderDxfId="48">
  <autoFilter ref="A1:M55"/>
  <tableColumns count="13">
    <tableColumn id="1" name="número de árboles" totalsRowFunction="count" dataDxfId="47" totalsRowDxfId="46"/>
    <tableColumn id="2" name="especie" totalsRowLabel=" Total " dataDxfId="45" totalsRowDxfId="44" dataCellStyle="Millares"/>
    <tableColumn id="3" name="altura" totalsRowFunction="average" dataDxfId="43" totalsRowDxfId="42" dataCellStyle="Millares"/>
    <tableColumn id="4" name="diámetro" totalsRowFunction="average" dataDxfId="41" totalsRowDxfId="40" dataCellStyle="Millares"/>
    <tableColumn id="5" name="Hermanado1" totalsRowFunction="average" dataDxfId="39" totalsRowDxfId="38" dataCellStyle="Millares"/>
    <tableColumn id="6" name="Hermanado2" totalsRowFunction="average" dataDxfId="37" totalsRowDxfId="36" dataCellStyle="Millares"/>
    <tableColumn id="7" name="Hermanado3" dataDxfId="35" totalsRowDxfId="34" dataCellStyle="Millares"/>
    <tableColumn id="8" name="Hermanado4" dataDxfId="33" totalsRowDxfId="32" dataCellStyle="Millares"/>
    <tableColumn id="11" name="Hermanado5" dataDxfId="31" totalsRowDxfId="30"/>
    <tableColumn id="12" name="AB (m2)" dataDxfId="29" totalsRowDxfId="28" dataCellStyle="Millares">
      <calculatedColumnFormula>PI()*(((C2)/2)/100)^2+PI()*(((D2)/2)/100)^2+PI()*(((E2)/2)/100)^2+PI()*(((F2)/2)/100)^2+PI()*(((G2)/2)/100)^2+PI()*(((H2)/2)/100)^2</calculatedColumnFormula>
    </tableColumn>
    <tableColumn id="13" name="apeo" dataDxfId="27" totalsRowDxfId="26"/>
    <tableColumn id="9" name="vitalidad" dataDxfId="25" totalsRowDxfId="24" dataCellStyle="Millares"/>
    <tableColumn id="10" name="observaciones" totalsRowFunction="count" dataDxfId="23" totalsRowDxfId="22" dataCellStyle="Millares"/>
  </tableColumns>
  <tableStyleInfo name="TableStyleMedium21" showFirstColumn="0" showLastColumn="0" showRowStripes="1" showColumnStripes="0"/>
</table>
</file>

<file path=xl/tables/table35.xml><?xml version="1.0" encoding="utf-8"?>
<table xmlns="http://schemas.openxmlformats.org/spreadsheetml/2006/main" id="39" name="Tabla39" displayName="Tabla39" ref="A100:J109" totalsRowCount="1">
  <autoFilter ref="A100:J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/>
    <tableColumn id="2" name="NÚMERO DE PIES" totalsRowFunction="sum"/>
    <tableColumn id="3" name="CLASE DIAMETRICA" totalsRowFunction="count"/>
    <tableColumn id="4" name="Columna1" totalsRowDxfId="21" dataCellStyle="Millares"/>
    <tableColumn id="5" name="pies/ha" totalsRowFunction="sum" totalsRowDxfId="20" dataCellStyle="Millares">
      <calculatedColumnFormula>(B101*10000)/625</calculatedColumnFormula>
    </tableColumn>
    <tableColumn id="6" name="gn (m2)" totalsRowFunction="average" totalsRowDxfId="19" dataCellStyle="Millares">
      <calculatedColumnFormula>(PI()/4)*(C101/100)^2</calculatedColumnFormula>
    </tableColumn>
    <tableColumn id="7" name="G (m2/ha.)" totalsRowFunction="sum" totalsRowDxfId="18" dataCellStyle="Millares">
      <calculatedColumnFormula>E101*F101</calculatedColumnFormula>
    </tableColumn>
    <tableColumn id="8" name="gn (m2)2"/>
    <tableColumn id="9" name="A.B (m 2) inicial"/>
    <tableColumn id="10" name="AB (m2) final" totalsRowFunction="count"/>
  </tableColumns>
  <tableStyleInfo name="TableStyleMedium21" showFirstColumn="0" showLastColumn="0" showRowStripes="1" showColumnStripes="0"/>
</table>
</file>

<file path=xl/tables/table36.xml><?xml version="1.0" encoding="utf-8"?>
<table xmlns="http://schemas.openxmlformats.org/spreadsheetml/2006/main" id="23" name="Tabla23" displayName="Tabla23" ref="A4:I23" totalsRowCount="1" headerRowDxfId="17" dataDxfId="16" dataCellStyle="Millares">
  <autoFilter ref="A4:I22"/>
  <tableColumns count="9">
    <tableColumn id="1" name="Columna1" totalsRowLabel="Total"/>
    <tableColumn id="2" name="altura" totalsRowFunction="average" dataDxfId="15" totalsRowDxfId="14" dataCellStyle="Millares"/>
    <tableColumn id="3" name="diámetro" totalsRowFunction="average" dataDxfId="13" totalsRowDxfId="12" dataCellStyle="Millares"/>
    <tableColumn id="4" name="Hermanado1" totalsRowFunction="average" dataDxfId="11" totalsRowDxfId="10" dataCellStyle="Millares"/>
    <tableColumn id="5" name="Hermanado2" totalsRowFunction="average" dataDxfId="9" totalsRowDxfId="8" dataCellStyle="Millares"/>
    <tableColumn id="6" name="Hermanado3" totalsRowFunction="average" dataDxfId="7" totalsRowDxfId="6" dataCellStyle="Millares"/>
    <tableColumn id="7" name="Hermanado4" dataDxfId="5" totalsRowDxfId="4" dataCellStyle="Millares"/>
    <tableColumn id="9" name="Hermanado5" dataDxfId="3" totalsRowDxfId="2" dataCellStyle="Millares"/>
    <tableColumn id="8" name="apeado" totalsRowFunction="sum" dataDxfId="1" totalsRowDxfId="0" dataCellStyle="Millares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L68" totalsRowCount="1">
  <autoFilter ref="A1:L67"/>
  <tableColumns count="12">
    <tableColumn id="1" name="número de árboles" totalsRowFunction="count" dataDxfId="755" totalsRowDxfId="754"/>
    <tableColumn id="2" name="especie" totalsRowLabel="Total" dataDxfId="753" totalsRowDxfId="752"/>
    <tableColumn id="3" name="altura" totalsRowFunction="average" dataDxfId="751" totalsRowDxfId="750" dataCellStyle="Millares"/>
    <tableColumn id="4" name="diámetro" totalsRowFunction="average" dataDxfId="749" totalsRowDxfId="748" dataCellStyle="Millares"/>
    <tableColumn id="5" name="Hermanado1" totalsRowFunction="average" dataDxfId="747" totalsRowDxfId="746" dataCellStyle="Millares"/>
    <tableColumn id="6" name="Hermanado2" totalsRowFunction="average" dataDxfId="745" totalsRowDxfId="744" dataCellStyle="Millares"/>
    <tableColumn id="7" name="Hermanado 3" totalsRowFunction="average" dataDxfId="743" totalsRowDxfId="742" dataCellStyle="Millares"/>
    <tableColumn id="8" name="Hermanado4" totalsRowFunction="average" dataDxfId="741" totalsRowDxfId="740" dataCellStyle="Millares"/>
    <tableColumn id="11" name="Hermanado5" totalsRowFunction="average" dataDxfId="739" totalsRowDxfId="738"/>
    <tableColumn id="12" name="AB( m2)" totalsRowFunction="average" dataDxfId="737" totalsRowDxfId="736" dataCellStyle="Millares">
      <calculatedColumnFormula>PI()*(((D2)/2)/100)^2+PI()*(((E2)/2)/100)^2+PI()*(((F2)/2)/100)^2+PI()*(((G2)/2)/100)^2+PI()*(((H2)/2)/100)^2+PI()*(((I2)/2)/100)^2</calculatedColumnFormula>
    </tableColumn>
    <tableColumn id="9" name="apeados" totalsRowFunction="sum" dataDxfId="735" totalsRowDxfId="734"/>
    <tableColumn id="10" name="vitalidad" totalsRowFunction="count" dataDxfId="733" totalsRowDxfId="732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27" name="Tabla27" displayName="Tabla27" ref="A100:J109" totalsRowCount="1" headerRowDxfId="731" dataDxfId="729" headerRowBorderDxfId="730" tableBorderDxfId="728">
  <autoFilter ref="A100:J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 dataDxfId="727" totalsRowDxfId="726"/>
    <tableColumn id="2" name="NÚMERO DE PIES" totalsRowFunction="sum" dataDxfId="725" totalsRowDxfId="724"/>
    <tableColumn id="3" name="CLASE DIAMETRICA" totalsRowFunction="count" dataDxfId="723" totalsRowDxfId="722"/>
    <tableColumn id="4" name="Columna1" dataDxfId="721" totalsRowDxfId="720"/>
    <tableColumn id="5" name="pies/ha" totalsRowFunction="sum" dataDxfId="719" totalsRowDxfId="718">
      <calculatedColumnFormula>(B101*10000)/625</calculatedColumnFormula>
    </tableColumn>
    <tableColumn id="6" name="gn (m2)" totalsRowFunction="average" dataDxfId="717" totalsRowDxfId="716" dataCellStyle="Millares">
      <calculatedColumnFormula>(PI()/4)*(C101/100)^2</calculatedColumnFormula>
    </tableColumn>
    <tableColumn id="7" name="G (m2/ha.)" totalsRowFunction="sum" dataDxfId="715" totalsRowDxfId="714" dataCellStyle="Millares">
      <calculatedColumnFormula>E101*F101</calculatedColumnFormula>
    </tableColumn>
    <tableColumn id="8" name="gn (m2)2" dataDxfId="713" totalsRowDxfId="712"/>
    <tableColumn id="9" name="A.B (m 2) inicial" dataDxfId="711" totalsRowDxfId="710"/>
    <tableColumn id="10" name="AB (m2) final" totalsRowFunction="count" dataDxfId="709" totalsRowDxfId="708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M45" totalsRowCount="1" dataDxfId="707" tableBorderDxfId="706">
  <autoFilter ref="A1:M44"/>
  <tableColumns count="13">
    <tableColumn id="1" name="número de árboles" totalsRowFunction="count" dataDxfId="705" totalsRowDxfId="704"/>
    <tableColumn id="2" name="especie" totalsRowLabel="total" dataDxfId="703" totalsRowDxfId="702"/>
    <tableColumn id="3" name="altura" totalsRowFunction="average" dataDxfId="701" totalsRowDxfId="700" dataCellStyle="Millares"/>
    <tableColumn id="4" name="diámetro" totalsRowFunction="average" dataDxfId="699" totalsRowDxfId="698" dataCellStyle="Millares"/>
    <tableColumn id="5" name="Hermanado1" totalsRowFunction="average" dataDxfId="697" totalsRowDxfId="696" dataCellStyle="Millares"/>
    <tableColumn id="6" name="Hermanado2" totalsRowFunction="average" dataDxfId="695" totalsRowDxfId="694" dataCellStyle="Millares"/>
    <tableColumn id="7" name="Hermanado3" totalsRowFunction="average" dataDxfId="693" totalsRowDxfId="692" dataCellStyle="Millares"/>
    <tableColumn id="8" name="Hermanado4" totalsRowFunction="average" dataDxfId="691" totalsRowDxfId="690" dataCellStyle="Millares"/>
    <tableColumn id="12" name="Hermanado5" totalsRowFunction="average" dataDxfId="689" totalsRowDxfId="688"/>
    <tableColumn id="13" name="AB (m2)" dataDxfId="687" totalsRowDxfId="686">
      <calculatedColumnFormula>PI()*(((D2)/2)/100)^2+PI()*(((E2)/2)/100)^2+PI()*(((F2)/2)/100)^2+PI()*(((G2)/2)/100)^2+PI()*(((H2)/2)/100)^2+PI()*(((I2)/2)/100)^2</calculatedColumnFormula>
    </tableColumn>
    <tableColumn id="9" name="apeados" totalsRowFunction="sum" dataDxfId="685" totalsRowDxfId="684" dataCellStyle="Millares"/>
    <tableColumn id="10" name="vitalidad" dataDxfId="683" totalsRowDxfId="682"/>
    <tableColumn id="11" name="observaciones" totalsRowFunction="count" dataDxfId="681" totalsRowDxfId="680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28" name="Tabla28" displayName="Tabla28" ref="A100:J109" totalsRowCount="1" headerRowDxfId="679" dataDxfId="677" headerRowBorderDxfId="678" tableBorderDxfId="676">
  <autoFilter ref="A100:J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CLASES DIAMÉTRICAS" totalsRowLabel="Total" dataDxfId="675" totalsRowDxfId="674"/>
    <tableColumn id="2" name="NÚMERO DE PIES" totalsRowFunction="sum" dataDxfId="673" totalsRowDxfId="672"/>
    <tableColumn id="3" name="CLASE DIAMETRICA" totalsRowFunction="count" dataDxfId="671" totalsRowDxfId="670"/>
    <tableColumn id="4" name="Columna1" dataDxfId="669" totalsRowDxfId="668"/>
    <tableColumn id="5" name="pies/ha" totalsRowFunction="sum" dataDxfId="667" totalsRowDxfId="666">
      <calculatedColumnFormula>(B101*10000)/625</calculatedColumnFormula>
    </tableColumn>
    <tableColumn id="6" name="gn (m2)" totalsRowFunction="average" dataDxfId="665" totalsRowDxfId="664" dataCellStyle="Millares">
      <calculatedColumnFormula>(PI()/4)*(C101/100)^2</calculatedColumnFormula>
    </tableColumn>
    <tableColumn id="7" name="G (m2/ha.)" totalsRowFunction="sum" dataDxfId="663" totalsRowDxfId="662" dataCellStyle="Millares">
      <calculatedColumnFormula>E101*F101</calculatedColumnFormula>
    </tableColumn>
    <tableColumn id="8" name="gn (m2)2" dataDxfId="661" totalsRowDxfId="660"/>
    <tableColumn id="9" name="A.B (m 2) inicial" dataDxfId="659" totalsRowDxfId="658"/>
    <tableColumn id="10" name="AB (m2) final" totalsRowFunction="count" dataDxfId="657" totalsRowDxfId="656"/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id="7" name="Tabla7" displayName="Tabla7" ref="A1:M47" totalsRowCount="1" dataDxfId="655" totalsRowDxfId="653" tableBorderDxfId="654" totalsRowBorderDxfId="652">
  <autoFilter ref="A1:M46"/>
  <tableColumns count="13">
    <tableColumn id="1" name="número de árboles" totalsRowFunction="count" dataDxfId="651" totalsRowDxfId="650"/>
    <tableColumn id="2" name="especie" totalsRowLabel=" total " dataDxfId="649" totalsRowDxfId="648" dataCellStyle="Millares"/>
    <tableColumn id="3" name="altura" totalsRowFunction="average" dataDxfId="647" totalsRowDxfId="646" dataCellStyle="Millares"/>
    <tableColumn id="4" name="diámetro" totalsRowFunction="average" dataDxfId="645" totalsRowDxfId="644" dataCellStyle="Millares"/>
    <tableColumn id="5" name="Hermanado1" totalsRowFunction="average" dataDxfId="643" totalsRowDxfId="642" dataCellStyle="Millares"/>
    <tableColumn id="6" name="Hermanado2" totalsRowFunction="average" dataDxfId="641" totalsRowDxfId="640" dataCellStyle="Millares"/>
    <tableColumn id="7" name="Hermanado3" totalsRowFunction="average" dataDxfId="639" totalsRowDxfId="638" dataCellStyle="Millares"/>
    <tableColumn id="8" name="Hermanado4" totalsRowFunction="average" dataDxfId="637" totalsRowDxfId="636" dataCellStyle="Millares"/>
    <tableColumn id="13" name="Hermanado5" dataDxfId="635" totalsRowDxfId="634"/>
    <tableColumn id="12" name="AB (m2)" dataDxfId="633" totalsRowDxfId="632" dataCellStyle="Millares">
      <calculatedColumnFormula>PI()*(((D2)/2)/100)^2+PI()*(((E2)/2)/100)^2+PI()*(((F2)/2)/100)^2+PI()*(((G2)/2)/100)^2+PI()*(((H2)/2)/100)^2+PI()*(((I2)/2)/100)^2</calculatedColumnFormula>
    </tableColumn>
    <tableColumn id="9" name="apeado" totalsRowFunction="sum" dataDxfId="631" totalsRowDxfId="630" dataCellStyle="Millares"/>
    <tableColumn id="10" name="vitalidad" dataDxfId="629" totalsRowDxfId="628" dataCellStyle="Millares"/>
    <tableColumn id="11" name="observaciones" dataDxfId="627" totalsRowDxfId="626" dataCellStyle="Millares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30" name="Tabla30" displayName="Tabla30" ref="A100:J109" totalsRowCount="1" headerRowDxfId="625" dataDxfId="623" headerRowBorderDxfId="624">
  <autoFilter ref="A100:J108"/>
  <tableColumns count="10">
    <tableColumn id="1" name="CLASES DIAMÉTRICAS" totalsRowLabel="Total" dataDxfId="622" totalsRowDxfId="621"/>
    <tableColumn id="2" name="NÚMERO DE PIES" totalsRowFunction="sum" dataDxfId="620" totalsRowDxfId="619"/>
    <tableColumn id="3" name="CLASE DIAMETRICA" totalsRowFunction="count" dataDxfId="618" totalsRowDxfId="617"/>
    <tableColumn id="4" name="Columna1" dataDxfId="616" totalsRowDxfId="615"/>
    <tableColumn id="5" name="pies/ha" totalsRowFunction="sum" dataDxfId="614" totalsRowDxfId="613">
      <calculatedColumnFormula>(B101*10000)/625</calculatedColumnFormula>
    </tableColumn>
    <tableColumn id="6" name="gn (m2)" dataDxfId="612" totalsRowDxfId="611" dataCellStyle="Millares">
      <calculatedColumnFormula>(PI()/4)*(C101/100)^2</calculatedColumnFormula>
    </tableColumn>
    <tableColumn id="7" name="G (m2/ha.)" totalsRowFunction="sum" dataDxfId="610" totalsRowDxfId="609" dataCellStyle="Millares">
      <calculatedColumnFormula>E101*F101</calculatedColumnFormula>
    </tableColumn>
    <tableColumn id="8" name="gn (m2)2" dataDxfId="608" totalsRowDxfId="607"/>
    <tableColumn id="9" name="A.B (m 2) inicial" dataDxfId="606" totalsRowDxfId="605"/>
    <tableColumn id="10" name="AB (m2) final" totalsRowFunction="count" dataDxfId="604" totalsRowDxfId="60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microsoft.com/office/2007/relationships/slicer" Target="../slicers/slicer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microsoft.com/office/2007/relationships/slicer" Target="../slicers/slicer11.xml"/><Relationship Id="rId4" Type="http://schemas.openxmlformats.org/officeDocument/2006/relationships/table" Target="../tables/table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microsoft.com/office/2007/relationships/slicer" Target="../slicers/slicer12.xml"/><Relationship Id="rId4" Type="http://schemas.openxmlformats.org/officeDocument/2006/relationships/table" Target="../tables/table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microsoft.com/office/2007/relationships/slicer" Target="../slicers/slicer13.xml"/><Relationship Id="rId4" Type="http://schemas.openxmlformats.org/officeDocument/2006/relationships/table" Target="../tables/table2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microsoft.com/office/2007/relationships/slicer" Target="../slicers/slicer14.xml"/><Relationship Id="rId4" Type="http://schemas.openxmlformats.org/officeDocument/2006/relationships/table" Target="../tables/table2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microsoft.com/office/2007/relationships/slicer" Target="../slicers/slicer15.xml"/><Relationship Id="rId4" Type="http://schemas.openxmlformats.org/officeDocument/2006/relationships/table" Target="../tables/table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microsoft.com/office/2007/relationships/slicer" Target="../slicers/slicer16.xml"/><Relationship Id="rId4" Type="http://schemas.openxmlformats.org/officeDocument/2006/relationships/table" Target="../tables/table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microsoft.com/office/2007/relationships/slicer" Target="../slicers/slicer17.xml"/><Relationship Id="rId4" Type="http://schemas.openxmlformats.org/officeDocument/2006/relationships/table" Target="../tables/table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5" Type="http://schemas.microsoft.com/office/2007/relationships/slicer" Target="../slicers/slicer18.xml"/><Relationship Id="rId4" Type="http://schemas.openxmlformats.org/officeDocument/2006/relationships/table" Target="../tables/table3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07/relationships/slicer" Target="../slicers/slicer1.xml"/><Relationship Id="rId4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07/relationships/slicer" Target="../slicers/slicer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3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4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microsoft.com/office/2007/relationships/slicer" Target="../slicers/slicer5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microsoft.com/office/2007/relationships/slicer" Target="../slicers/slicer6.xml"/><Relationship Id="rId4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microsoft.com/office/2007/relationships/slicer" Target="../slicers/slicer7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microsoft.com/office/2007/relationships/slicer" Target="../slicers/slicer8.xml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Layout" topLeftCell="A25" zoomScale="110" zoomScaleNormal="100" zoomScalePageLayoutView="110" workbookViewId="0">
      <selection activeCell="G46" sqref="G46"/>
    </sheetView>
  </sheetViews>
  <sheetFormatPr baseColWidth="10" defaultColWidth="8.7265625" defaultRowHeight="14.5" x14ac:dyDescent="0.35"/>
  <cols>
    <col min="1" max="1" width="19.54296875" customWidth="1"/>
    <col min="2" max="2" width="16.1796875" customWidth="1"/>
    <col min="3" max="3" width="17.7265625" customWidth="1"/>
    <col min="4" max="4" width="10.6328125" customWidth="1"/>
    <col min="5" max="6" width="13.7265625" customWidth="1"/>
    <col min="7" max="7" width="14.7265625" customWidth="1"/>
    <col min="8" max="8" width="15.453125" customWidth="1"/>
    <col min="9" max="9" width="15" customWidth="1"/>
    <col min="10" max="10" width="14.7265625" customWidth="1"/>
    <col min="11" max="11" width="15.7265625" customWidth="1"/>
    <col min="12" max="12" width="12.08984375" customWidth="1"/>
  </cols>
  <sheetData>
    <row r="1" spans="1:12" x14ac:dyDescent="0.35">
      <c r="A1" s="42"/>
      <c r="B1" s="42"/>
      <c r="C1" s="145"/>
      <c r="D1" s="145"/>
      <c r="E1" s="145"/>
      <c r="F1" s="145"/>
      <c r="G1" s="145"/>
      <c r="H1" s="42"/>
      <c r="I1" s="42"/>
      <c r="J1" s="42"/>
      <c r="K1" s="42"/>
      <c r="L1" s="41"/>
    </row>
    <row r="2" spans="1:12" x14ac:dyDescent="0.35">
      <c r="A2" s="42"/>
      <c r="B2" s="42"/>
      <c r="C2" s="145"/>
      <c r="D2" s="145"/>
      <c r="E2" s="145"/>
      <c r="F2" s="145"/>
      <c r="G2" s="145"/>
      <c r="H2" s="42"/>
      <c r="I2" s="42"/>
      <c r="J2" s="42"/>
      <c r="K2" s="42"/>
      <c r="L2" s="41"/>
    </row>
    <row r="3" spans="1:12" ht="58" x14ac:dyDescent="0.35">
      <c r="A3" s="247" t="s">
        <v>232</v>
      </c>
      <c r="B3" s="247" t="s">
        <v>216</v>
      </c>
      <c r="C3" s="285" t="s">
        <v>237</v>
      </c>
      <c r="D3" s="247" t="s">
        <v>218</v>
      </c>
      <c r="E3" s="247" t="s">
        <v>219</v>
      </c>
      <c r="F3" s="247" t="s">
        <v>230</v>
      </c>
      <c r="G3" s="247" t="s">
        <v>224</v>
      </c>
      <c r="H3" s="247" t="s">
        <v>226</v>
      </c>
      <c r="I3" s="247" t="s">
        <v>227</v>
      </c>
      <c r="J3" s="42" t="s">
        <v>236</v>
      </c>
      <c r="K3" s="42"/>
      <c r="L3" s="41"/>
    </row>
    <row r="4" spans="1:12" x14ac:dyDescent="0.35">
      <c r="A4" s="284">
        <v>125</v>
      </c>
      <c r="B4" s="247" t="e">
        <f>suma</f>
        <v>#NAME?</v>
      </c>
      <c r="C4" s="247"/>
      <c r="D4" s="247"/>
      <c r="E4" s="247"/>
      <c r="F4" s="247"/>
      <c r="G4" s="247"/>
      <c r="H4" s="247"/>
      <c r="I4" s="247"/>
      <c r="J4" s="42"/>
      <c r="K4" s="42"/>
      <c r="L4" s="41"/>
    </row>
    <row r="5" spans="1:12" x14ac:dyDescent="0.35">
      <c r="A5" s="3">
        <v>130</v>
      </c>
      <c r="B5" s="249" t="e">
        <f>Tabla8[[#Totals],[AB m2]]*C16/C15</f>
        <v>#VALUE!</v>
      </c>
      <c r="C5" s="248">
        <v>37</v>
      </c>
      <c r="D5" s="248">
        <f>25*25/10000</f>
        <v>6.25E-2</v>
      </c>
      <c r="E5" s="248">
        <f>C5/D5</f>
        <v>592</v>
      </c>
      <c r="F5" s="248">
        <f>COUNT(Tabla8[[diámetro]:[Hermanado5]])</f>
        <v>66</v>
      </c>
      <c r="G5" s="248"/>
      <c r="H5" s="249">
        <f>($C$34*$E$34+$C$35*$E$35+$C$36*$E$36+$C$37*$E$37+$C$38*$E$38+$C$39*$E$39+$C$40*$E$40+$C$41*$E$41)/$E$42</f>
        <v>13.700980392156863</v>
      </c>
      <c r="I5" s="250">
        <f>SQRT(($C$34^2*$E$34+$C$35^2*$E$35+$C$36^2*$E$36+$C$37^2*$E$37+$C$38^2*$E$38+$C$39^2*$E$39+$C$40^2*$E$40+$C$41^2*$E$41)/$E$42)</f>
        <v>15.002723064377522</v>
      </c>
    </row>
    <row r="6" spans="1:12" x14ac:dyDescent="0.35">
      <c r="A6" s="3">
        <v>112</v>
      </c>
      <c r="B6" s="2" t="s">
        <v>217</v>
      </c>
      <c r="C6" s="2"/>
      <c r="D6" s="2"/>
      <c r="E6" s="2"/>
      <c r="F6" s="2"/>
      <c r="G6" s="2"/>
      <c r="H6" s="2"/>
      <c r="I6" s="2"/>
    </row>
    <row r="7" spans="1:12" x14ac:dyDescent="0.35">
      <c r="A7" s="3">
        <v>46</v>
      </c>
      <c r="B7" s="2"/>
      <c r="C7" s="2"/>
      <c r="D7" s="2"/>
      <c r="E7" s="2"/>
      <c r="F7" s="2"/>
      <c r="G7" s="2"/>
      <c r="H7" s="2"/>
      <c r="I7" s="2"/>
    </row>
    <row r="8" spans="1:12" x14ac:dyDescent="0.35">
      <c r="A8" s="3">
        <v>43</v>
      </c>
      <c r="B8" s="2"/>
      <c r="C8" s="2"/>
      <c r="D8" s="2"/>
      <c r="E8" s="2"/>
      <c r="F8" s="2"/>
      <c r="G8" s="2"/>
      <c r="H8" s="2"/>
      <c r="I8" s="2"/>
    </row>
    <row r="9" spans="1:12" x14ac:dyDescent="0.35">
      <c r="A9" s="3">
        <v>23</v>
      </c>
      <c r="B9" s="4"/>
      <c r="C9" s="4"/>
      <c r="D9" s="4"/>
      <c r="E9" s="4"/>
      <c r="F9" s="4"/>
      <c r="G9" s="4"/>
      <c r="H9" s="4"/>
      <c r="I9" s="4"/>
    </row>
    <row r="10" spans="1:12" x14ac:dyDescent="0.35">
      <c r="A10" s="7"/>
      <c r="B10" s="33"/>
      <c r="C10" s="33"/>
      <c r="D10" s="33"/>
      <c r="E10" s="33"/>
      <c r="F10" s="33"/>
      <c r="G10" s="33"/>
      <c r="H10" s="33"/>
      <c r="I10" s="33"/>
    </row>
    <row r="11" spans="1:12" ht="15" thickBot="1" x14ac:dyDescent="0.4">
      <c r="A11" s="19" t="s">
        <v>63</v>
      </c>
    </row>
    <row r="12" spans="1:12" ht="15" thickBot="1" x14ac:dyDescent="0.4">
      <c r="A12" s="365" t="s">
        <v>126</v>
      </c>
      <c r="B12" s="366"/>
      <c r="C12" s="366"/>
      <c r="D12" s="366"/>
      <c r="E12" s="366"/>
      <c r="F12" s="366"/>
      <c r="G12" s="366"/>
      <c r="H12" s="366"/>
      <c r="I12" s="366"/>
      <c r="J12" s="367"/>
    </row>
    <row r="13" spans="1:12" ht="15" thickBot="1" x14ac:dyDescent="0.4"/>
    <row r="14" spans="1:12" ht="15" thickBot="1" x14ac:dyDescent="0.4">
      <c r="A14" t="s">
        <v>128</v>
      </c>
      <c r="B14">
        <v>57</v>
      </c>
      <c r="C14">
        <f>25*25</f>
        <v>625</v>
      </c>
      <c r="E14" s="55" t="s">
        <v>29</v>
      </c>
      <c r="F14" s="56"/>
      <c r="G14" s="232" t="s">
        <v>65</v>
      </c>
      <c r="H14" s="233"/>
      <c r="I14" s="231" t="s">
        <v>4</v>
      </c>
      <c r="J14" s="233"/>
    </row>
    <row r="15" spans="1:12" ht="15" thickBot="1" x14ac:dyDescent="0.4">
      <c r="B15">
        <f>B14*C15/C14</f>
        <v>912</v>
      </c>
      <c r="C15">
        <v>10000</v>
      </c>
      <c r="E15" s="52" t="s">
        <v>30</v>
      </c>
      <c r="F15" s="53" t="s">
        <v>31</v>
      </c>
      <c r="G15" s="43">
        <v>125</v>
      </c>
      <c r="H15" s="21" t="s">
        <v>23</v>
      </c>
      <c r="I15" s="13" t="s">
        <v>6</v>
      </c>
      <c r="J15" s="14" t="s">
        <v>58</v>
      </c>
    </row>
    <row r="16" spans="1:12" ht="21.5" thickBot="1" x14ac:dyDescent="0.55000000000000004">
      <c r="A16" s="27" t="s">
        <v>70</v>
      </c>
      <c r="B16" s="49" t="s">
        <v>28</v>
      </c>
      <c r="C16" s="10" t="s">
        <v>52</v>
      </c>
      <c r="D16" s="51" t="s">
        <v>147</v>
      </c>
      <c r="E16" s="48" t="s">
        <v>32</v>
      </c>
      <c r="F16" s="46" t="s">
        <v>33</v>
      </c>
      <c r="G16" s="44">
        <v>130</v>
      </c>
      <c r="H16" s="23" t="s">
        <v>25</v>
      </c>
      <c r="I16" s="15" t="s">
        <v>5</v>
      </c>
      <c r="J16" s="16" t="s">
        <v>59</v>
      </c>
    </row>
    <row r="17" spans="1:10" ht="15" thickBot="1" x14ac:dyDescent="0.4">
      <c r="A17" s="10"/>
      <c r="B17" s="12">
        <v>2</v>
      </c>
      <c r="C17" s="12">
        <v>1</v>
      </c>
      <c r="D17" s="12">
        <f>B15</f>
        <v>912</v>
      </c>
      <c r="E17" s="48" t="s">
        <v>34</v>
      </c>
      <c r="F17" s="46" t="s">
        <v>35</v>
      </c>
      <c r="G17" s="44">
        <v>46</v>
      </c>
      <c r="H17" s="23" t="s">
        <v>26</v>
      </c>
      <c r="I17" s="15" t="s">
        <v>13</v>
      </c>
      <c r="J17" s="16" t="s">
        <v>60</v>
      </c>
    </row>
    <row r="18" spans="1:10" x14ac:dyDescent="0.35">
      <c r="E18" s="45" t="s">
        <v>36</v>
      </c>
      <c r="F18" s="58" t="s">
        <v>37</v>
      </c>
      <c r="G18" s="44">
        <v>43</v>
      </c>
      <c r="H18" s="23" t="s">
        <v>27</v>
      </c>
      <c r="I18" s="15" t="s">
        <v>10</v>
      </c>
      <c r="J18" s="16" t="s">
        <v>61</v>
      </c>
    </row>
    <row r="19" spans="1:10" ht="15" thickBot="1" x14ac:dyDescent="0.4">
      <c r="E19" s="45" t="s">
        <v>16</v>
      </c>
      <c r="F19" s="46" t="s">
        <v>38</v>
      </c>
      <c r="G19" s="44">
        <v>23</v>
      </c>
      <c r="H19" s="23" t="s">
        <v>22</v>
      </c>
      <c r="I19" s="17" t="s">
        <v>12</v>
      </c>
      <c r="J19" s="18" t="s">
        <v>62</v>
      </c>
    </row>
    <row r="20" spans="1:10" x14ac:dyDescent="0.35">
      <c r="E20" s="45" t="s">
        <v>39</v>
      </c>
      <c r="F20" s="46" t="s">
        <v>40</v>
      </c>
      <c r="G20" s="44">
        <v>73</v>
      </c>
      <c r="H20" s="23" t="s">
        <v>24</v>
      </c>
    </row>
    <row r="21" spans="1:10" x14ac:dyDescent="0.35">
      <c r="E21" s="45" t="s">
        <v>41</v>
      </c>
      <c r="F21" s="46" t="s">
        <v>42</v>
      </c>
      <c r="G21" s="44">
        <v>87</v>
      </c>
      <c r="H21" s="23" t="s">
        <v>47</v>
      </c>
    </row>
    <row r="22" spans="1:10" x14ac:dyDescent="0.35">
      <c r="E22" s="45" t="s">
        <v>43</v>
      </c>
      <c r="F22" s="46" t="s">
        <v>44</v>
      </c>
      <c r="G22" s="44">
        <v>3</v>
      </c>
      <c r="H22" s="23" t="s">
        <v>48</v>
      </c>
    </row>
    <row r="23" spans="1:10" x14ac:dyDescent="0.35">
      <c r="E23" s="45" t="s">
        <v>45</v>
      </c>
      <c r="F23" s="47" t="s">
        <v>46</v>
      </c>
      <c r="G23" s="44">
        <v>82</v>
      </c>
      <c r="H23" s="23" t="s">
        <v>50</v>
      </c>
    </row>
    <row r="24" spans="1:10" x14ac:dyDescent="0.35">
      <c r="G24" s="22">
        <v>83</v>
      </c>
      <c r="H24" s="23" t="s">
        <v>49</v>
      </c>
    </row>
    <row r="25" spans="1:10" x14ac:dyDescent="0.35">
      <c r="G25" s="22">
        <v>42</v>
      </c>
      <c r="H25" s="23" t="s">
        <v>51</v>
      </c>
    </row>
    <row r="26" spans="1:10" x14ac:dyDescent="0.35">
      <c r="G26" s="22">
        <v>112</v>
      </c>
      <c r="H26" s="23" t="s">
        <v>66</v>
      </c>
    </row>
    <row r="27" spans="1:10" ht="15" thickBot="1" x14ac:dyDescent="0.4">
      <c r="G27" s="25">
        <v>113</v>
      </c>
      <c r="H27" s="26" t="s">
        <v>67</v>
      </c>
    </row>
    <row r="33" spans="1:10" x14ac:dyDescent="0.35">
      <c r="A33" s="271" t="s">
        <v>228</v>
      </c>
      <c r="B33" s="271" t="s">
        <v>206</v>
      </c>
      <c r="C33" s="271" t="s">
        <v>229</v>
      </c>
      <c r="D33" s="271" t="s">
        <v>142</v>
      </c>
      <c r="E33" s="271" t="s">
        <v>147</v>
      </c>
      <c r="F33" s="271" t="s">
        <v>225</v>
      </c>
      <c r="G33" s="271" t="s">
        <v>207</v>
      </c>
      <c r="H33" s="271" t="s">
        <v>231</v>
      </c>
      <c r="I33" s="271" t="s">
        <v>213</v>
      </c>
      <c r="J33" s="272" t="s">
        <v>215</v>
      </c>
    </row>
    <row r="34" spans="1:10" x14ac:dyDescent="0.35">
      <c r="A34" s="245" t="s">
        <v>212</v>
      </c>
      <c r="B34" s="343">
        <f>'A1'!B99+'A2'!B101+'A3'!B101+'A4'!B101+'A5'!B101+'A6'!B101+'B1'!B101+'B2'!B101+'B3'!B101+'B4'!B101+'B5'!B101+'B6'!B101+'C1'!B101+'C2'!B100+'C3'!B101+'C4'!B101+'C5'!B101+'C6'!B101</f>
        <v>244</v>
      </c>
      <c r="C34" s="269">
        <v>5</v>
      </c>
      <c r="D34" s="269"/>
      <c r="E34" s="343">
        <f>'A1'!E99+'A2'!E101+'A3'!E101+'A4'!E101+'A5'!E101+'A6'!E101+'B1'!E101+'B2'!E101+'B3'!E101+'B4'!E101+'B5'!E101+'B6'!E101+'C1'!E101+'C2'!E100+'C3'!E101+'C4'!E101+'C5'!E101+'C6'!E101</f>
        <v>3904</v>
      </c>
      <c r="F34" s="270">
        <f>(PI()/4)*(C34/100)^2</f>
        <v>1.9634954084936209E-3</v>
      </c>
      <c r="G34" s="270">
        <f>'A1'!G99+'A2'!G101+'A3'!G101+'A4'!G101+'A5'!G101+'A6'!G101+'B1'!G101+'B2'!G101+'B3'!G101+'B4'!G101+'B5'!G101+'B6'!G101+'C1'!G101+'C2'!G100+'C3'!G101+'C4'!G101+'C5'!G101+'C6'!G101</f>
        <v>7.6654860747590963</v>
      </c>
      <c r="H34" s="269"/>
      <c r="I34" s="269"/>
      <c r="J34" s="269"/>
    </row>
    <row r="35" spans="1:10" x14ac:dyDescent="0.35">
      <c r="A35" s="246" t="s">
        <v>211</v>
      </c>
      <c r="B35" s="344">
        <f>'A1'!B100+'A2'!B102+'A3'!B102+'A4'!B102+'A5'!B102+'A6'!B102+'B1'!B102+'B2'!B102+'B3'!B102+'B4'!B102+'B5'!B102+'B6'!B102+'C1'!B102+'C2'!B101+'C3'!B102+'C4'!B102+'C5'!B102+'C6'!B102</f>
        <v>281</v>
      </c>
      <c r="C35" s="257">
        <v>10</v>
      </c>
      <c r="D35" s="257"/>
      <c r="E35" s="344">
        <f>'A1'!E100+'A2'!E102+'A3'!E102+'A4'!E102+'A5'!E102+'A6'!E102+'B1'!E102+'B2'!E102+'B3'!E102+'B4'!E102+'B5'!E102+'B6'!E102+'C1'!E102+'C2'!E101+'C3'!E102+'C4'!E102+'C5'!E102+'C6'!E102</f>
        <v>4496</v>
      </c>
      <c r="F35" s="258">
        <f t="shared" ref="F35:F41" si="0">(PI()/4)*(C35/100)^2</f>
        <v>7.8539816339744835E-3</v>
      </c>
      <c r="G35" s="258">
        <f>'A1'!G100+'A2'!G102+'A3'!G102+'A4'!G102+'A5'!G102+'A6'!G102+'B1'!G102+'B2'!G102+'B3'!G102+'B4'!G102+'B5'!G102+'B6'!G102+'C1'!G102+'C2'!G101+'C3'!G102+'C4'!G102+'C5'!G102+'C6'!G102</f>
        <v>35.311501426349281</v>
      </c>
      <c r="H35" s="257"/>
      <c r="I35" s="257"/>
      <c r="J35" s="257"/>
    </row>
    <row r="36" spans="1:10" x14ac:dyDescent="0.35">
      <c r="A36" s="245" t="s">
        <v>209</v>
      </c>
      <c r="B36" s="343">
        <f>'A1'!B101+'A2'!B103+'A3'!B103+'A4'!B103+'A5'!B103+'A6'!B103+'B1'!B103+'B2'!B103+'B3'!B103+'B4'!B103+'B5'!B103+'B6'!B103+'C1'!B103+'C2'!B102+'C3'!B103+'C4'!B103+'C5'!B103+'C6'!B103</f>
        <v>336</v>
      </c>
      <c r="C36" s="269">
        <v>15</v>
      </c>
      <c r="D36" s="269"/>
      <c r="E36" s="343">
        <f>'A1'!E101+'A2'!E103+'A3'!E103+'A4'!E103+'A5'!E103+'A6'!E103+'B1'!E103+'B2'!E103+'B3'!E103+'B4'!E103+'B5'!E103+'B6'!E103+'C1'!E103+'C2'!E102+'C3'!E103+'C4'!E103+'C5'!E103+'C6'!E103</f>
        <v>5376</v>
      </c>
      <c r="F36" s="270">
        <f t="shared" si="0"/>
        <v>1.7671458676442587E-2</v>
      </c>
      <c r="G36" s="270">
        <f>'A1'!G101+'A2'!G103+'A3'!G103+'A4'!G103+'A5'!G103+'A6'!G103+'B1'!G103+'B2'!G103+'B3'!G103+'B4'!G103+'B5'!G103+'B6'!G103+'C1'!G103+'C2'!G102+'C3'!G103+'C4'!G103+'C5'!G103+'C6'!G103</f>
        <v>95.001761844555361</v>
      </c>
      <c r="H36" s="269"/>
      <c r="I36" s="269"/>
      <c r="J36" s="269"/>
    </row>
    <row r="37" spans="1:10" x14ac:dyDescent="0.35">
      <c r="A37" s="246" t="s">
        <v>208</v>
      </c>
      <c r="B37" s="344">
        <f>'A1'!B102+'A2'!B104+'A3'!B104+'A4'!B104+'A5'!B104+'A6'!B104+'B1'!B104+'B2'!B104+'B3'!B104+'B4'!B104+'B5'!B104+'B6'!B104+'C1'!B104+'C2'!B103+'C3'!B104+'C4'!B104+'C5'!B104+'C6'!B104</f>
        <v>287</v>
      </c>
      <c r="C37" s="257">
        <v>20</v>
      </c>
      <c r="D37" s="257"/>
      <c r="E37" s="344">
        <f>'A1'!E102+'A2'!E104+'A3'!E104+'A4'!E104+'A5'!E104+'A6'!E104+'B1'!E104+'B2'!E104+'B3'!E104+'B4'!E104+'B5'!E104+'B6'!E104+'C1'!E104+'C2'!E103+'C3'!E104+'C4'!E104+'C5'!E104+'C6'!E104</f>
        <v>4592</v>
      </c>
      <c r="F37" s="258">
        <f t="shared" si="0"/>
        <v>3.1415926535897934E-2</v>
      </c>
      <c r="G37" s="258">
        <f>'A1'!G102+'A2'!G104+'A3'!G104+'A4'!G104+'A5'!G104+'A6'!G104+'B1'!G104+'B2'!G104+'B3'!G104+'B4'!G104+'B5'!G104+'B6'!G104+'C1'!G104+'C2'!G103+'C3'!G104+'C4'!G104+'C5'!G104+'C6'!G104</f>
        <v>144.26193465284331</v>
      </c>
      <c r="H37" s="257"/>
      <c r="I37" s="257"/>
      <c r="J37" s="257"/>
    </row>
    <row r="38" spans="1:10" x14ac:dyDescent="0.35">
      <c r="A38" s="245" t="s">
        <v>210</v>
      </c>
      <c r="B38" s="343">
        <f>'A1'!B103+'A2'!B105+'A3'!B105+'A4'!B105+'A5'!B105+'A6'!B105+'B1'!B105+'B2'!B105+'B3'!B105+'B4'!B105+'B5'!B105+'B6'!B105+'C1'!B105+'C2'!B104+'C3'!B105+'C4'!B105+'C5'!B105+'C6'!B105</f>
        <v>66</v>
      </c>
      <c r="C38" s="269">
        <v>25</v>
      </c>
      <c r="D38" s="269"/>
      <c r="E38" s="343">
        <f>'A1'!E103+'A2'!E105+'A3'!E105+'A4'!E105+'A5'!E105+'A6'!E105+'B1'!E105+'B2'!E105+'B3'!E105+'B4'!E105+'B5'!E105+'B6'!E105+'C1'!E105+'C2'!E104+'C3'!E105+'C4'!E105+'C5'!E105+'C6'!E105</f>
        <v>1056</v>
      </c>
      <c r="F38" s="270">
        <f t="shared" si="0"/>
        <v>4.9087385212340517E-2</v>
      </c>
      <c r="G38" s="270">
        <f>'A1'!G103+'A2'!G105+'A3'!G105+'A4'!G105+'A5'!G105+'A6'!G105+'B1'!G105+'B2'!G105+'B3'!G105+'B4'!G105+'B5'!G105+'B6'!G105+'C1'!G105+'C2'!G104+'C3'!G105+'C4'!G105+'C5'!G105+'C6'!G105</f>
        <v>51.836278784231574</v>
      </c>
      <c r="H38" s="269"/>
      <c r="I38" s="269"/>
      <c r="J38" s="269"/>
    </row>
    <row r="39" spans="1:10" x14ac:dyDescent="0.35">
      <c r="A39" s="246" t="s">
        <v>221</v>
      </c>
      <c r="B39" s="345">
        <f>'A1'!B104+'A2'!B106+'A3'!B106+'A4'!B106+'A5'!B106+'A6'!B106+'B1'!B106+'B2'!B106+'B3'!B106+'B4'!B106+'B5'!B106+'B6'!B106+'C1'!B106+'C2'!B105+'C3'!B106+'C4'!B106+'C5'!B106+'C6'!B106</f>
        <v>8</v>
      </c>
      <c r="C39" s="257">
        <v>30</v>
      </c>
      <c r="D39" s="257"/>
      <c r="E39" s="344">
        <f>'A1'!E104+'A2'!E106+'A3'!E106+'A4'!E106+'A5'!E106+'A6'!E106+'B1'!E106+'B2'!E106+'B3'!E106+'B4'!E106+'B5'!E106+'B6'!E106+'C1'!E106+'C2'!E105+'C3'!E106+'C4'!E106+'C5'!E106+'C6'!E106</f>
        <v>128</v>
      </c>
      <c r="F39" s="258">
        <f t="shared" si="0"/>
        <v>7.0685834705770348E-2</v>
      </c>
      <c r="G39" s="258">
        <f>'A1'!G104+'A2'!G106+'A3'!G106+'A4'!G106+'A5'!G106+'A6'!G106+'B1'!G106+'B2'!G106+'B3'!G106+'B4'!G106+'B5'!G106+'B6'!G106+'C1'!G106+'C2'!G105+'C3'!G106+'C4'!G106+'C5'!G106+'C6'!G106</f>
        <v>9.0477868423386045</v>
      </c>
      <c r="H39" s="257"/>
      <c r="I39" s="257"/>
      <c r="J39" s="257"/>
    </row>
    <row r="40" spans="1:10" x14ac:dyDescent="0.35">
      <c r="A40" s="245" t="s">
        <v>222</v>
      </c>
      <c r="B40" s="343">
        <f>'A1'!B105+'A2'!B107+'A3'!B107+'A4'!B107+'A5'!B107+'A6'!B107+'B1'!B107+'B2'!B107+'B3'!B107+'B4'!B107+'B5'!B107+'B6'!B107+'C1'!B107+'C2'!B106+'C3'!B107+'C4'!B107+'C5'!B107+'C6'!B107</f>
        <v>2</v>
      </c>
      <c r="C40" s="269">
        <v>35</v>
      </c>
      <c r="D40" s="269"/>
      <c r="E40" s="343">
        <f>'A1'!E105+'A2'!E107+'A3'!E107+'A4'!E107+'A5'!E107+'A6'!E107+'B1'!E107+'B2'!E107+'B3'!E107+'B4'!E107+'B5'!E107+'B6'!E107+'C1'!E107+'C2'!E106+'C3'!E107+'C4'!E107+'C5'!E107+'C6'!E107</f>
        <v>32</v>
      </c>
      <c r="F40" s="270">
        <f t="shared" si="0"/>
        <v>9.6211275016187398E-2</v>
      </c>
      <c r="G40" s="270">
        <f>'A1'!G105+'A2'!G107+'A3'!G107+'A4'!G107+'A5'!G107+'A6'!G107+'B1'!G107+'B2'!G107+'B3'!G107+'B4'!G107+'B5'!G107+'B6'!G107+'C1'!G107+'C2'!G106+'C3'!G107+'C4'!G107+'C5'!G107+'C6'!G107</f>
        <v>3.0787608005179967</v>
      </c>
      <c r="H40" s="269"/>
      <c r="I40" s="269"/>
      <c r="J40" s="269"/>
    </row>
    <row r="41" spans="1:10" ht="15" thickBot="1" x14ac:dyDescent="0.4">
      <c r="A41" s="287" t="s">
        <v>223</v>
      </c>
      <c r="B41" s="354">
        <f>'A1'!B106+'A2'!B108+'A3'!B108+'A4'!B108+'A5'!B108+'A6'!B108+'B1'!B108+'B2'!B108+'B3'!B108+'B4'!B108+'B5'!B108+'B6'!B108+'C1'!B108+'C2'!B107+'C3'!B108+'C4'!B108+'C5'!B108+'C6'!B108</f>
        <v>0</v>
      </c>
      <c r="C41" s="288">
        <v>40</v>
      </c>
      <c r="D41" s="288"/>
      <c r="E41" s="354">
        <f>'A1'!E106+'A2'!E108+'A3'!E108+'A4'!E108+'A5'!E108+'A6'!E108+'B1'!E108+'B2'!E108+'B3'!E108+'B4'!E108+'B5'!E108+'B6'!E108+'C1'!E108+'C2'!E107+'C3'!E108+'C4'!E108+'C5'!E108+'C6'!E108</f>
        <v>0</v>
      </c>
      <c r="F41" s="289">
        <f t="shared" si="0"/>
        <v>0.12566370614359174</v>
      </c>
      <c r="G41" s="289">
        <f>'A1'!G106+'A2'!G108+'A3'!G108+'A4'!G108+'A5'!G108+'A6'!G108+'B1'!G108+'B2'!G108+'B3'!G108+'B4'!G108+'B5'!G108+'B6'!G108+'C1'!G108+'C2'!G107+'C3'!G108+'C4'!G108+'C5'!G108+'C6'!G108</f>
        <v>0</v>
      </c>
      <c r="H41" s="288"/>
      <c r="I41" s="257"/>
      <c r="J41" s="257"/>
    </row>
    <row r="42" spans="1:10" ht="15" thickBot="1" x14ac:dyDescent="0.4">
      <c r="A42" s="340" t="s">
        <v>146</v>
      </c>
      <c r="B42" s="355">
        <f>SUM(Tabla2642[NÚMERO DE PIES])</f>
        <v>1224</v>
      </c>
      <c r="C42" s="341">
        <f>SUBTOTAL(103,Tabla2642[CLASE DIAMETRICA])</f>
        <v>8</v>
      </c>
      <c r="D42" s="341"/>
      <c r="E42" s="355">
        <f>SUBTOTAL(109,Tabla2642[pies/ha])</f>
        <v>19584</v>
      </c>
      <c r="F42" s="356">
        <f>SUBTOTAL(101,Tabla2642[gn (m2)])</f>
        <v>5.0069132916587329E-2</v>
      </c>
      <c r="G42" s="356">
        <f>SUBTOTAL(109,Tabla2642[G (m2/ha.)])</f>
        <v>346.20351042559525</v>
      </c>
      <c r="H42" s="342"/>
      <c r="J42">
        <f>SUBTOTAL(109,Tabla2642[AB (m2) final])</f>
        <v>0</v>
      </c>
    </row>
    <row r="43" spans="1:10" x14ac:dyDescent="0.35">
      <c r="A43" t="s">
        <v>241</v>
      </c>
      <c r="B43">
        <f>(25*25)*18</f>
        <v>11250</v>
      </c>
      <c r="G43">
        <v>18</v>
      </c>
    </row>
    <row r="44" spans="1:10" x14ac:dyDescent="0.35">
      <c r="A44" t="s">
        <v>242</v>
      </c>
      <c r="B44" s="240">
        <f>B43/10000</f>
        <v>1.125</v>
      </c>
      <c r="G44">
        <v>1.1299999999999999</v>
      </c>
    </row>
    <row r="45" spans="1:10" x14ac:dyDescent="0.35">
      <c r="A45" t="s">
        <v>128</v>
      </c>
      <c r="B45" s="76">
        <f>Tabla2642[[#Totals],[NÚMERO DE PIES]]/B44</f>
        <v>1088</v>
      </c>
      <c r="G45" s="76">
        <f>Tabla2642[[#Totals],[G (m2/ha.)]]/18</f>
        <v>19.233528356977516</v>
      </c>
    </row>
    <row r="48" spans="1:10" ht="15" thickBot="1" x14ac:dyDescent="0.4"/>
    <row r="49" spans="1:2" x14ac:dyDescent="0.35">
      <c r="A49" s="283" t="s">
        <v>235</v>
      </c>
      <c r="B49" s="282" t="s">
        <v>234</v>
      </c>
    </row>
    <row r="50" spans="1:2" x14ac:dyDescent="0.35">
      <c r="A50" s="281" t="s">
        <v>70</v>
      </c>
      <c r="B50" s="280" t="e">
        <f>#REF!/10000</f>
        <v>#REF!</v>
      </c>
    </row>
    <row r="51" spans="1:2" x14ac:dyDescent="0.35">
      <c r="A51" s="281" t="s">
        <v>79</v>
      </c>
      <c r="B51" s="280" t="e">
        <f>#REF!/10000</f>
        <v>#REF!</v>
      </c>
    </row>
    <row r="52" spans="1:2" x14ac:dyDescent="0.35">
      <c r="A52" s="281" t="s">
        <v>89</v>
      </c>
      <c r="B52" s="280" t="e">
        <f>#REF!/10000</f>
        <v>#REF!</v>
      </c>
    </row>
    <row r="53" spans="1:2" x14ac:dyDescent="0.35">
      <c r="A53" s="281" t="s">
        <v>111</v>
      </c>
      <c r="B53" s="280" t="e">
        <f>#REF!/10000</f>
        <v>#REF!</v>
      </c>
    </row>
    <row r="54" spans="1:2" x14ac:dyDescent="0.35">
      <c r="A54" s="281" t="s">
        <v>117</v>
      </c>
      <c r="B54" s="280" t="e">
        <f>#REF!/10000</f>
        <v>#REF!</v>
      </c>
    </row>
    <row r="55" spans="1:2" x14ac:dyDescent="0.35">
      <c r="A55" s="281" t="s">
        <v>104</v>
      </c>
      <c r="B55" s="280" t="e">
        <f>#REF!/10000</f>
        <v>#REF!</v>
      </c>
    </row>
    <row r="56" spans="1:2" x14ac:dyDescent="0.35">
      <c r="A56" s="281" t="s">
        <v>71</v>
      </c>
      <c r="B56" s="280" t="e">
        <f>#REF!/10000</f>
        <v>#REF!</v>
      </c>
    </row>
    <row r="57" spans="1:2" x14ac:dyDescent="0.35">
      <c r="A57" s="281" t="s">
        <v>72</v>
      </c>
      <c r="B57" s="280" t="e">
        <f>#REF!/10000</f>
        <v>#REF!</v>
      </c>
    </row>
    <row r="58" spans="1:2" x14ac:dyDescent="0.35">
      <c r="A58" s="281" t="s">
        <v>69</v>
      </c>
      <c r="B58" s="280" t="e">
        <f>#REF!/10000</f>
        <v>#REF!</v>
      </c>
    </row>
    <row r="59" spans="1:2" x14ac:dyDescent="0.35">
      <c r="A59" s="281" t="s">
        <v>105</v>
      </c>
      <c r="B59" s="280" t="e">
        <f>#REF!/10000</f>
        <v>#REF!</v>
      </c>
    </row>
    <row r="60" spans="1:2" x14ac:dyDescent="0.35">
      <c r="A60" s="281" t="s">
        <v>121</v>
      </c>
      <c r="B60" s="280" t="e">
        <f>#REF!/10000</f>
        <v>#REF!</v>
      </c>
    </row>
    <row r="61" spans="1:2" x14ac:dyDescent="0.35">
      <c r="A61" s="281" t="s">
        <v>122</v>
      </c>
      <c r="B61" s="280" t="e">
        <f>#REF!/10000</f>
        <v>#REF!</v>
      </c>
    </row>
    <row r="62" spans="1:2" x14ac:dyDescent="0.35">
      <c r="A62" s="281" t="s">
        <v>68</v>
      </c>
      <c r="B62" s="280" t="e">
        <f>#REF!/10000</f>
        <v>#REF!</v>
      </c>
    </row>
    <row r="63" spans="1:2" x14ac:dyDescent="0.35">
      <c r="A63" s="281" t="s">
        <v>86</v>
      </c>
      <c r="B63" s="280" t="e">
        <f>#REF!/10000</f>
        <v>#REF!</v>
      </c>
    </row>
    <row r="64" spans="1:2" x14ac:dyDescent="0.35">
      <c r="A64" s="281" t="s">
        <v>120</v>
      </c>
      <c r="B64" s="280" t="e">
        <f>#REF!/10000</f>
        <v>#REF!</v>
      </c>
    </row>
    <row r="65" spans="1:2" x14ac:dyDescent="0.35">
      <c r="A65" s="281" t="s">
        <v>118</v>
      </c>
      <c r="B65" s="280" t="e">
        <f>#REF!/10000</f>
        <v>#REF!</v>
      </c>
    </row>
    <row r="66" spans="1:2" x14ac:dyDescent="0.35">
      <c r="A66" s="281" t="s">
        <v>100</v>
      </c>
      <c r="B66" s="280" t="e">
        <f>#REF!/10000</f>
        <v>#REF!</v>
      </c>
    </row>
    <row r="67" spans="1:2" ht="15" thickBot="1" x14ac:dyDescent="0.4">
      <c r="A67" s="279" t="s">
        <v>119</v>
      </c>
      <c r="B67" s="278" t="e">
        <f>#REF!/10000</f>
        <v>#REF!</v>
      </c>
    </row>
    <row r="68" spans="1:2" ht="15" thickBot="1" x14ac:dyDescent="0.4">
      <c r="A68" s="297" t="s">
        <v>233</v>
      </c>
      <c r="B68" s="277" t="e">
        <f>SUM(B50:B67)</f>
        <v>#REF!</v>
      </c>
    </row>
  </sheetData>
  <mergeCells count="1">
    <mergeCell ref="A12:J12"/>
  </mergeCells>
  <pageMargins left="0.7" right="0.7" top="0.75" bottom="0.75" header="0.3" footer="0.3"/>
  <pageSetup paperSize="8" scale="86" orientation="portrait" r:id="rId1"/>
  <headerFooter>
    <oddHeader>&amp;C&amp;14Parcela &amp;"-,Negrita"&amp;K04+000A1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100" zoomScale="110" zoomScaleNormal="100" zoomScalePageLayoutView="110" workbookViewId="0">
      <selection activeCell="B101" sqref="B101"/>
    </sheetView>
  </sheetViews>
  <sheetFormatPr baseColWidth="10" defaultColWidth="8.7265625" defaultRowHeight="14.5" x14ac:dyDescent="0.35"/>
  <cols>
    <col min="1" max="1" width="18.6328125" customWidth="1"/>
    <col min="2" max="2" width="9" customWidth="1"/>
    <col min="4" max="4" width="10.453125" customWidth="1"/>
    <col min="5" max="6" width="13.7265625" customWidth="1"/>
    <col min="7" max="7" width="14.7265625" customWidth="1"/>
    <col min="8" max="8" width="13.7265625" customWidth="1"/>
    <col min="9" max="9" width="11.26953125" customWidth="1"/>
    <col min="10" max="10" width="9.90625" customWidth="1"/>
    <col min="11" max="11" width="14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140</v>
      </c>
      <c r="H1" s="4" t="s">
        <v>9</v>
      </c>
      <c r="I1" s="33" t="s">
        <v>195</v>
      </c>
      <c r="J1" s="33" t="s">
        <v>239</v>
      </c>
      <c r="K1" s="33" t="s">
        <v>144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8.5</v>
      </c>
      <c r="D2" s="174">
        <v>20</v>
      </c>
      <c r="E2" s="174"/>
      <c r="F2" s="190"/>
      <c r="G2" s="190"/>
      <c r="H2" s="190"/>
      <c r="I2" s="190"/>
      <c r="J2" s="237">
        <f t="shared" ref="J2:J33" si="0">PI()*(((D2)/2)/100)^2+PI()*(((E2)/2)/100)^2+PI()*(((F2)/2)/100)^2+PI()*(((G2)/2)/100)^2+PI()*(((H2)/2)/100)^2+PI()*(((I2)/2)/100)^2</f>
        <v>3.1415926535897934E-2</v>
      </c>
      <c r="K2" s="190"/>
      <c r="L2" s="174" t="s">
        <v>13</v>
      </c>
      <c r="M2" s="175"/>
    </row>
    <row r="3" spans="1:13" x14ac:dyDescent="0.35">
      <c r="A3" s="176">
        <v>2</v>
      </c>
      <c r="B3" s="137">
        <v>112</v>
      </c>
      <c r="C3" s="137">
        <v>8.5</v>
      </c>
      <c r="D3" s="137">
        <v>25</v>
      </c>
      <c r="E3" s="137"/>
      <c r="F3" s="138"/>
      <c r="G3" s="138"/>
      <c r="H3" s="138"/>
      <c r="I3" s="138"/>
      <c r="J3" s="241">
        <f t="shared" si="0"/>
        <v>4.9087385212340517E-2</v>
      </c>
      <c r="K3" s="138"/>
      <c r="L3" s="137" t="s">
        <v>13</v>
      </c>
      <c r="M3" s="177"/>
    </row>
    <row r="4" spans="1:13" x14ac:dyDescent="0.35">
      <c r="A4" s="176">
        <v>3</v>
      </c>
      <c r="B4" s="137">
        <v>125</v>
      </c>
      <c r="C4" s="137">
        <v>8.5</v>
      </c>
      <c r="D4" s="137">
        <v>22</v>
      </c>
      <c r="E4" s="137"/>
      <c r="F4" s="138"/>
      <c r="G4" s="138"/>
      <c r="H4" s="138"/>
      <c r="I4" s="138"/>
      <c r="J4" s="241">
        <f t="shared" si="0"/>
        <v>3.8013271108436497E-2</v>
      </c>
      <c r="K4" s="138"/>
      <c r="L4" s="137" t="s">
        <v>13</v>
      </c>
      <c r="M4" s="177"/>
    </row>
    <row r="5" spans="1:13" x14ac:dyDescent="0.35">
      <c r="A5" s="176">
        <v>4</v>
      </c>
      <c r="B5" s="137">
        <v>125</v>
      </c>
      <c r="C5" s="137">
        <v>7.5</v>
      </c>
      <c r="D5" s="137"/>
      <c r="E5" s="137">
        <v>10</v>
      </c>
      <c r="F5" s="138">
        <v>16</v>
      </c>
      <c r="G5" s="138"/>
      <c r="H5" s="138"/>
      <c r="I5" s="138"/>
      <c r="J5" s="241">
        <f t="shared" si="0"/>
        <v>2.7960174616949159E-2</v>
      </c>
      <c r="K5" s="138"/>
      <c r="L5" s="137" t="s">
        <v>10</v>
      </c>
      <c r="M5" s="177"/>
    </row>
    <row r="6" spans="1:13" x14ac:dyDescent="0.35">
      <c r="A6" s="176">
        <v>5</v>
      </c>
      <c r="B6" s="137">
        <v>112</v>
      </c>
      <c r="C6" s="137">
        <v>1.1000000000000001</v>
      </c>
      <c r="D6" s="137">
        <v>5</v>
      </c>
      <c r="E6" s="137"/>
      <c r="F6" s="138"/>
      <c r="G6" s="138"/>
      <c r="H6" s="138"/>
      <c r="I6" s="138"/>
      <c r="J6" s="241">
        <f t="shared" si="0"/>
        <v>1.9634954084936209E-3</v>
      </c>
      <c r="K6" s="138"/>
      <c r="L6" s="137" t="s">
        <v>6</v>
      </c>
      <c r="M6" s="177"/>
    </row>
    <row r="7" spans="1:13" x14ac:dyDescent="0.35">
      <c r="A7" s="176">
        <v>6</v>
      </c>
      <c r="B7" s="137">
        <v>125</v>
      </c>
      <c r="C7" s="137">
        <v>6</v>
      </c>
      <c r="D7" s="137">
        <v>8</v>
      </c>
      <c r="E7" s="137"/>
      <c r="F7" s="138"/>
      <c r="G7" s="138"/>
      <c r="H7" s="138"/>
      <c r="I7" s="138"/>
      <c r="J7" s="241">
        <f t="shared" si="0"/>
        <v>5.0265482457436689E-3</v>
      </c>
      <c r="K7" s="138"/>
      <c r="L7" s="137" t="s">
        <v>5</v>
      </c>
      <c r="M7" s="177"/>
    </row>
    <row r="8" spans="1:13" x14ac:dyDescent="0.35">
      <c r="A8" s="176">
        <v>7</v>
      </c>
      <c r="B8" s="137">
        <v>125</v>
      </c>
      <c r="C8" s="137">
        <v>8.5</v>
      </c>
      <c r="D8" s="137"/>
      <c r="E8" s="137">
        <v>12</v>
      </c>
      <c r="F8" s="138">
        <v>19</v>
      </c>
      <c r="G8" s="138"/>
      <c r="H8" s="138"/>
      <c r="I8" s="138"/>
      <c r="J8" s="241">
        <f t="shared" si="0"/>
        <v>3.9662607251571141E-2</v>
      </c>
      <c r="K8" s="138"/>
      <c r="L8" s="137" t="s">
        <v>13</v>
      </c>
      <c r="M8" s="177"/>
    </row>
    <row r="9" spans="1:13" x14ac:dyDescent="0.35">
      <c r="A9" s="176">
        <v>8</v>
      </c>
      <c r="B9" s="137">
        <v>125</v>
      </c>
      <c r="C9" s="137">
        <v>7</v>
      </c>
      <c r="D9" s="137"/>
      <c r="E9" s="137">
        <v>10</v>
      </c>
      <c r="F9" s="138">
        <v>10</v>
      </c>
      <c r="G9" s="138">
        <v>12</v>
      </c>
      <c r="H9" s="138"/>
      <c r="I9" s="138"/>
      <c r="J9" s="241">
        <f t="shared" si="0"/>
        <v>2.7017696820872222E-2</v>
      </c>
      <c r="K9" s="138"/>
      <c r="L9" s="137" t="s">
        <v>10</v>
      </c>
      <c r="M9" s="177"/>
    </row>
    <row r="10" spans="1:13" x14ac:dyDescent="0.35">
      <c r="A10" s="176">
        <v>9</v>
      </c>
      <c r="B10" s="137">
        <v>125</v>
      </c>
      <c r="C10" s="137">
        <v>8</v>
      </c>
      <c r="D10" s="137">
        <v>21</v>
      </c>
      <c r="E10" s="137"/>
      <c r="F10" s="138"/>
      <c r="G10" s="138"/>
      <c r="H10" s="138"/>
      <c r="I10" s="138"/>
      <c r="J10" s="241">
        <f t="shared" si="0"/>
        <v>3.4636059005827467E-2</v>
      </c>
      <c r="K10" s="138"/>
      <c r="L10" s="137" t="s">
        <v>13</v>
      </c>
      <c r="M10" s="177"/>
    </row>
    <row r="11" spans="1:13" x14ac:dyDescent="0.35">
      <c r="A11" s="176">
        <v>10</v>
      </c>
      <c r="B11" s="137">
        <v>125</v>
      </c>
      <c r="C11" s="137">
        <v>7</v>
      </c>
      <c r="D11" s="137">
        <v>15</v>
      </c>
      <c r="E11" s="137"/>
      <c r="F11" s="138"/>
      <c r="G11" s="138"/>
      <c r="H11" s="138"/>
      <c r="I11" s="138"/>
      <c r="J11" s="241">
        <f t="shared" si="0"/>
        <v>1.7671458676442587E-2</v>
      </c>
      <c r="K11" s="138"/>
      <c r="L11" s="137" t="s">
        <v>10</v>
      </c>
      <c r="M11" s="177"/>
    </row>
    <row r="12" spans="1:13" x14ac:dyDescent="0.35">
      <c r="A12" s="176">
        <v>11</v>
      </c>
      <c r="B12" s="137">
        <v>125</v>
      </c>
      <c r="C12" s="137">
        <v>8.5</v>
      </c>
      <c r="D12" s="137">
        <v>21</v>
      </c>
      <c r="E12" s="137"/>
      <c r="F12" s="138"/>
      <c r="G12" s="138"/>
      <c r="H12" s="138"/>
      <c r="I12" s="138"/>
      <c r="J12" s="241">
        <f t="shared" si="0"/>
        <v>3.4636059005827467E-2</v>
      </c>
      <c r="K12" s="138"/>
      <c r="L12" s="137" t="s">
        <v>12</v>
      </c>
      <c r="M12" s="177"/>
    </row>
    <row r="13" spans="1:13" x14ac:dyDescent="0.35">
      <c r="A13" s="176">
        <v>12</v>
      </c>
      <c r="B13" s="137">
        <v>125</v>
      </c>
      <c r="C13" s="137">
        <v>3.5</v>
      </c>
      <c r="D13" s="137">
        <v>8</v>
      </c>
      <c r="E13" s="137"/>
      <c r="F13" s="138"/>
      <c r="G13" s="138"/>
      <c r="H13" s="138"/>
      <c r="I13" s="138"/>
      <c r="J13" s="241">
        <f t="shared" si="0"/>
        <v>5.0265482457436689E-3</v>
      </c>
      <c r="K13" s="138"/>
      <c r="L13" s="137" t="s">
        <v>5</v>
      </c>
      <c r="M13" s="177"/>
    </row>
    <row r="14" spans="1:13" x14ac:dyDescent="0.35">
      <c r="A14" s="176">
        <v>13</v>
      </c>
      <c r="B14" s="137">
        <v>125</v>
      </c>
      <c r="C14" s="137">
        <v>8</v>
      </c>
      <c r="D14" s="137">
        <v>21</v>
      </c>
      <c r="E14" s="137"/>
      <c r="F14" s="138"/>
      <c r="G14" s="138"/>
      <c r="H14" s="138"/>
      <c r="I14" s="138"/>
      <c r="J14" s="241">
        <f t="shared" si="0"/>
        <v>3.4636059005827467E-2</v>
      </c>
      <c r="K14" s="138"/>
      <c r="L14" s="137" t="s">
        <v>12</v>
      </c>
      <c r="M14" s="177"/>
    </row>
    <row r="15" spans="1:13" x14ac:dyDescent="0.35">
      <c r="A15" s="176">
        <v>14</v>
      </c>
      <c r="B15" s="137">
        <v>125</v>
      </c>
      <c r="C15" s="137">
        <v>9</v>
      </c>
      <c r="D15" s="137"/>
      <c r="E15" s="137">
        <v>21</v>
      </c>
      <c r="F15" s="138">
        <v>15</v>
      </c>
      <c r="G15" s="138"/>
      <c r="H15" s="138"/>
      <c r="I15" s="138"/>
      <c r="J15" s="241">
        <f t="shared" si="0"/>
        <v>5.2307517682270058E-2</v>
      </c>
      <c r="K15" s="138"/>
      <c r="L15" s="137" t="s">
        <v>12</v>
      </c>
      <c r="M15" s="177"/>
    </row>
    <row r="16" spans="1:13" x14ac:dyDescent="0.35">
      <c r="A16" s="176">
        <v>15</v>
      </c>
      <c r="B16" s="137">
        <v>125</v>
      </c>
      <c r="C16" s="137">
        <v>7.5</v>
      </c>
      <c r="D16" s="137"/>
      <c r="E16" s="137">
        <v>7</v>
      </c>
      <c r="F16" s="138">
        <v>13</v>
      </c>
      <c r="G16" s="138"/>
      <c r="H16" s="138"/>
      <c r="I16" s="138"/>
      <c r="J16" s="241">
        <f t="shared" si="0"/>
        <v>1.7121679962064373E-2</v>
      </c>
      <c r="K16" s="138"/>
      <c r="L16" s="137" t="s">
        <v>10</v>
      </c>
      <c r="M16" s="177" t="s">
        <v>15</v>
      </c>
    </row>
    <row r="17" spans="1:13" x14ac:dyDescent="0.35">
      <c r="A17" s="196">
        <v>16</v>
      </c>
      <c r="B17" s="156">
        <v>125</v>
      </c>
      <c r="C17" s="156">
        <v>8.5</v>
      </c>
      <c r="D17" s="156"/>
      <c r="E17" s="156">
        <v>17</v>
      </c>
      <c r="F17" s="149">
        <v>17</v>
      </c>
      <c r="G17" s="149"/>
      <c r="H17" s="149"/>
      <c r="I17" s="149"/>
      <c r="J17" s="242">
        <f t="shared" si="0"/>
        <v>4.5396013844372522E-2</v>
      </c>
      <c r="K17" s="149">
        <v>2</v>
      </c>
      <c r="L17" s="156" t="s">
        <v>12</v>
      </c>
      <c r="M17" s="197"/>
    </row>
    <row r="18" spans="1:13" x14ac:dyDescent="0.35">
      <c r="A18" s="176">
        <v>17</v>
      </c>
      <c r="B18" s="137">
        <v>125</v>
      </c>
      <c r="C18" s="137" t="s">
        <v>16</v>
      </c>
      <c r="D18" s="137"/>
      <c r="E18" s="137"/>
      <c r="F18" s="138"/>
      <c r="G18" s="138"/>
      <c r="H18" s="138"/>
      <c r="I18" s="138"/>
      <c r="J18" s="241">
        <f t="shared" si="0"/>
        <v>0</v>
      </c>
      <c r="K18" s="138"/>
      <c r="L18" s="137"/>
      <c r="M18" s="177" t="s">
        <v>16</v>
      </c>
    </row>
    <row r="19" spans="1:13" x14ac:dyDescent="0.35">
      <c r="A19" s="176">
        <v>18</v>
      </c>
      <c r="B19" s="137">
        <v>125</v>
      </c>
      <c r="C19" s="137">
        <v>10</v>
      </c>
      <c r="D19" s="137">
        <v>25</v>
      </c>
      <c r="E19" s="137"/>
      <c r="F19" s="138"/>
      <c r="G19" s="138"/>
      <c r="H19" s="138"/>
      <c r="I19" s="138"/>
      <c r="J19" s="241">
        <f t="shared" si="0"/>
        <v>4.9087385212340517E-2</v>
      </c>
      <c r="K19" s="138"/>
      <c r="L19" s="137" t="s">
        <v>12</v>
      </c>
      <c r="M19" s="177"/>
    </row>
    <row r="20" spans="1:13" x14ac:dyDescent="0.35">
      <c r="A20" s="176">
        <v>19</v>
      </c>
      <c r="B20" s="137">
        <v>125</v>
      </c>
      <c r="C20" s="137">
        <v>9</v>
      </c>
      <c r="D20" s="137">
        <v>24</v>
      </c>
      <c r="E20" s="137"/>
      <c r="F20" s="138"/>
      <c r="G20" s="138"/>
      <c r="H20" s="138"/>
      <c r="I20" s="138"/>
      <c r="J20" s="241">
        <f t="shared" si="0"/>
        <v>4.5238934211693019E-2</v>
      </c>
      <c r="K20" s="138"/>
      <c r="L20" s="137" t="s">
        <v>12</v>
      </c>
      <c r="M20" s="177"/>
    </row>
    <row r="21" spans="1:13" x14ac:dyDescent="0.35">
      <c r="A21" s="176">
        <v>20</v>
      </c>
      <c r="B21" s="137">
        <v>125</v>
      </c>
      <c r="C21" s="137">
        <v>9</v>
      </c>
      <c r="D21" s="137"/>
      <c r="E21" s="137">
        <v>13</v>
      </c>
      <c r="F21" s="138">
        <v>22</v>
      </c>
      <c r="G21" s="138"/>
      <c r="H21" s="138"/>
      <c r="I21" s="138"/>
      <c r="J21" s="241">
        <f t="shared" si="0"/>
        <v>5.1286500069853372E-2</v>
      </c>
      <c r="K21" s="138"/>
      <c r="L21" s="137" t="s">
        <v>12</v>
      </c>
      <c r="M21" s="177"/>
    </row>
    <row r="22" spans="1:13" x14ac:dyDescent="0.35">
      <c r="A22" s="176">
        <v>21</v>
      </c>
      <c r="B22" s="137">
        <v>125</v>
      </c>
      <c r="C22" s="137">
        <v>8.5</v>
      </c>
      <c r="D22" s="137">
        <v>17</v>
      </c>
      <c r="E22" s="137"/>
      <c r="F22" s="138"/>
      <c r="G22" s="138"/>
      <c r="H22" s="138"/>
      <c r="I22" s="138"/>
      <c r="J22" s="241">
        <f t="shared" si="0"/>
        <v>2.2698006922186261E-2</v>
      </c>
      <c r="K22" s="138"/>
      <c r="L22" s="137" t="s">
        <v>10</v>
      </c>
      <c r="M22" s="177"/>
    </row>
    <row r="23" spans="1:13" x14ac:dyDescent="0.35">
      <c r="A23" s="176">
        <v>22</v>
      </c>
      <c r="B23" s="137">
        <v>125</v>
      </c>
      <c r="C23" s="137">
        <v>9</v>
      </c>
      <c r="D23" s="137">
        <v>18</v>
      </c>
      <c r="E23" s="137"/>
      <c r="F23" s="138"/>
      <c r="G23" s="138"/>
      <c r="H23" s="138"/>
      <c r="I23" s="138"/>
      <c r="J23" s="241">
        <f t="shared" si="0"/>
        <v>2.5446900494077322E-2</v>
      </c>
      <c r="K23" s="138"/>
      <c r="L23" s="137" t="s">
        <v>10</v>
      </c>
      <c r="M23" s="177"/>
    </row>
    <row r="24" spans="1:13" x14ac:dyDescent="0.35">
      <c r="A24" s="176">
        <v>23</v>
      </c>
      <c r="B24" s="137">
        <v>112</v>
      </c>
      <c r="C24" s="137">
        <v>8.5</v>
      </c>
      <c r="D24" s="137">
        <v>17</v>
      </c>
      <c r="E24" s="137"/>
      <c r="F24" s="138"/>
      <c r="G24" s="138"/>
      <c r="H24" s="138"/>
      <c r="I24" s="138"/>
      <c r="J24" s="241">
        <f t="shared" si="0"/>
        <v>2.2698006922186261E-2</v>
      </c>
      <c r="K24" s="138"/>
      <c r="L24" s="137" t="s">
        <v>13</v>
      </c>
      <c r="M24" s="177"/>
    </row>
    <row r="25" spans="1:13" x14ac:dyDescent="0.35">
      <c r="A25" s="176">
        <v>24</v>
      </c>
      <c r="B25" s="137">
        <v>125</v>
      </c>
      <c r="C25" s="137">
        <v>8.5</v>
      </c>
      <c r="D25" s="137">
        <v>19</v>
      </c>
      <c r="E25" s="137"/>
      <c r="F25" s="138"/>
      <c r="G25" s="138"/>
      <c r="H25" s="138"/>
      <c r="I25" s="138"/>
      <c r="J25" s="241">
        <f t="shared" si="0"/>
        <v>2.8352873698647883E-2</v>
      </c>
      <c r="K25" s="138"/>
      <c r="L25" s="137" t="s">
        <v>10</v>
      </c>
      <c r="M25" s="177"/>
    </row>
    <row r="26" spans="1:13" x14ac:dyDescent="0.35">
      <c r="A26" s="176">
        <v>25</v>
      </c>
      <c r="B26" s="137">
        <v>125</v>
      </c>
      <c r="C26" s="137">
        <v>9</v>
      </c>
      <c r="D26" s="137">
        <v>15</v>
      </c>
      <c r="E26" s="137"/>
      <c r="F26" s="138"/>
      <c r="G26" s="138"/>
      <c r="H26" s="138"/>
      <c r="I26" s="138"/>
      <c r="J26" s="241">
        <f t="shared" si="0"/>
        <v>1.7671458676442587E-2</v>
      </c>
      <c r="K26" s="138"/>
      <c r="L26" s="137" t="s">
        <v>13</v>
      </c>
      <c r="M26" s="177"/>
    </row>
    <row r="27" spans="1:13" x14ac:dyDescent="0.35">
      <c r="A27" s="176">
        <v>26</v>
      </c>
      <c r="B27" s="137">
        <v>125</v>
      </c>
      <c r="C27" s="137">
        <v>9</v>
      </c>
      <c r="D27" s="137"/>
      <c r="E27" s="137">
        <v>14</v>
      </c>
      <c r="F27" s="138">
        <v>21</v>
      </c>
      <c r="G27" s="138"/>
      <c r="H27" s="138"/>
      <c r="I27" s="138"/>
      <c r="J27" s="241">
        <f t="shared" si="0"/>
        <v>5.0029863008417455E-2</v>
      </c>
      <c r="K27" s="138"/>
      <c r="L27" s="137" t="s">
        <v>12</v>
      </c>
      <c r="M27" s="177"/>
    </row>
    <row r="28" spans="1:13" x14ac:dyDescent="0.35">
      <c r="A28" s="176">
        <v>27</v>
      </c>
      <c r="B28" s="137">
        <v>130</v>
      </c>
      <c r="C28" s="137">
        <v>8</v>
      </c>
      <c r="D28" s="137"/>
      <c r="E28" s="137">
        <v>15</v>
      </c>
      <c r="F28" s="138">
        <v>13</v>
      </c>
      <c r="G28" s="138"/>
      <c r="H28" s="138"/>
      <c r="I28" s="138"/>
      <c r="J28" s="241">
        <f t="shared" si="0"/>
        <v>3.0944687637859465E-2</v>
      </c>
      <c r="K28" s="138"/>
      <c r="L28" s="137" t="s">
        <v>5</v>
      </c>
      <c r="M28" s="177"/>
    </row>
    <row r="29" spans="1:13" x14ac:dyDescent="0.35">
      <c r="A29" s="176">
        <v>28</v>
      </c>
      <c r="B29" s="137">
        <v>125</v>
      </c>
      <c r="C29" s="137" t="s">
        <v>16</v>
      </c>
      <c r="D29" s="137"/>
      <c r="E29" s="137">
        <v>13</v>
      </c>
      <c r="F29" s="138">
        <v>14</v>
      </c>
      <c r="G29" s="138">
        <v>21</v>
      </c>
      <c r="H29" s="138"/>
      <c r="I29" s="138"/>
      <c r="J29" s="241">
        <f t="shared" si="0"/>
        <v>6.330309196983433E-2</v>
      </c>
      <c r="K29" s="138"/>
      <c r="L29" s="137"/>
      <c r="M29" s="177"/>
    </row>
    <row r="30" spans="1:13" x14ac:dyDescent="0.35">
      <c r="A30" s="176">
        <v>29</v>
      </c>
      <c r="B30" s="137">
        <v>125</v>
      </c>
      <c r="C30" s="137">
        <v>8.5</v>
      </c>
      <c r="D30" s="137">
        <v>21</v>
      </c>
      <c r="E30" s="137"/>
      <c r="F30" s="138"/>
      <c r="G30" s="138"/>
      <c r="H30" s="138"/>
      <c r="I30" s="138"/>
      <c r="J30" s="241">
        <f t="shared" si="0"/>
        <v>3.4636059005827467E-2</v>
      </c>
      <c r="K30" s="138"/>
      <c r="L30" s="137" t="s">
        <v>10</v>
      </c>
      <c r="M30" s="177"/>
    </row>
    <row r="31" spans="1:13" x14ac:dyDescent="0.35">
      <c r="A31" s="176">
        <v>30</v>
      </c>
      <c r="B31" s="137">
        <v>125</v>
      </c>
      <c r="C31" s="137" t="s">
        <v>16</v>
      </c>
      <c r="D31" s="137">
        <v>10</v>
      </c>
      <c r="E31" s="137"/>
      <c r="F31" s="138"/>
      <c r="G31" s="138"/>
      <c r="H31" s="138"/>
      <c r="I31" s="138"/>
      <c r="J31" s="241">
        <f t="shared" si="0"/>
        <v>7.8539816339744835E-3</v>
      </c>
      <c r="K31" s="138"/>
      <c r="L31" s="137"/>
      <c r="M31" s="177"/>
    </row>
    <row r="32" spans="1:13" x14ac:dyDescent="0.35">
      <c r="A32" s="176">
        <v>31</v>
      </c>
      <c r="B32" s="137">
        <v>125</v>
      </c>
      <c r="C32" s="137" t="s">
        <v>16</v>
      </c>
      <c r="D32" s="137">
        <v>15</v>
      </c>
      <c r="E32" s="137"/>
      <c r="F32" s="138"/>
      <c r="G32" s="138"/>
      <c r="H32" s="138"/>
      <c r="I32" s="138"/>
      <c r="J32" s="241">
        <f t="shared" si="0"/>
        <v>1.7671458676442587E-2</v>
      </c>
      <c r="K32" s="138"/>
      <c r="L32" s="137"/>
      <c r="M32" s="177" t="s">
        <v>55</v>
      </c>
    </row>
    <row r="33" spans="1:13" x14ac:dyDescent="0.35">
      <c r="A33" s="176">
        <v>32</v>
      </c>
      <c r="B33" s="137">
        <v>125</v>
      </c>
      <c r="C33" s="137">
        <v>9.5</v>
      </c>
      <c r="D33" s="137">
        <v>21</v>
      </c>
      <c r="E33" s="137"/>
      <c r="F33" s="138"/>
      <c r="G33" s="138"/>
      <c r="H33" s="138"/>
      <c r="I33" s="138"/>
      <c r="J33" s="241">
        <f t="shared" si="0"/>
        <v>3.4636059005827467E-2</v>
      </c>
      <c r="K33" s="138"/>
      <c r="L33" s="137" t="s">
        <v>12</v>
      </c>
      <c r="M33" s="177"/>
    </row>
    <row r="34" spans="1:13" x14ac:dyDescent="0.35">
      <c r="A34" s="176">
        <v>33</v>
      </c>
      <c r="B34" s="137">
        <v>125</v>
      </c>
      <c r="C34" s="137">
        <v>8</v>
      </c>
      <c r="D34" s="137">
        <v>14</v>
      </c>
      <c r="E34" s="137"/>
      <c r="F34" s="138"/>
      <c r="G34" s="138"/>
      <c r="H34" s="138"/>
      <c r="I34" s="138"/>
      <c r="J34" s="241">
        <f t="shared" ref="J34:J56" si="1">PI()*(((D34)/2)/100)^2+PI()*(((E34)/2)/100)^2+PI()*(((F34)/2)/100)^2+PI()*(((G34)/2)/100)^2+PI()*(((H34)/2)/100)^2+PI()*(((I34)/2)/100)^2</f>
        <v>1.5393804002589988E-2</v>
      </c>
      <c r="K34" s="138"/>
      <c r="L34" s="137" t="s">
        <v>13</v>
      </c>
      <c r="M34" s="177"/>
    </row>
    <row r="35" spans="1:13" x14ac:dyDescent="0.35">
      <c r="A35" s="181">
        <v>34</v>
      </c>
      <c r="B35" s="133">
        <v>125</v>
      </c>
      <c r="C35" s="133">
        <v>7</v>
      </c>
      <c r="D35" s="133">
        <v>11</v>
      </c>
      <c r="E35" s="133"/>
      <c r="F35" s="134"/>
      <c r="G35" s="134"/>
      <c r="H35" s="134"/>
      <c r="I35" s="134"/>
      <c r="J35" s="244">
        <f t="shared" si="1"/>
        <v>9.5033177771091243E-3</v>
      </c>
      <c r="K35" s="134">
        <v>1</v>
      </c>
      <c r="L35" s="133" t="s">
        <v>10</v>
      </c>
      <c r="M35" s="182"/>
    </row>
    <row r="36" spans="1:13" x14ac:dyDescent="0.35">
      <c r="A36" s="176">
        <v>35</v>
      </c>
      <c r="B36" s="137">
        <v>125</v>
      </c>
      <c r="C36" s="137">
        <v>9.5</v>
      </c>
      <c r="D36" s="137">
        <v>25</v>
      </c>
      <c r="E36" s="137"/>
      <c r="F36" s="138"/>
      <c r="G36" s="138"/>
      <c r="H36" s="138"/>
      <c r="I36" s="138"/>
      <c r="J36" s="241">
        <f t="shared" si="1"/>
        <v>4.9087385212340517E-2</v>
      </c>
      <c r="K36" s="138"/>
      <c r="L36" s="137" t="s">
        <v>12</v>
      </c>
      <c r="M36" s="177"/>
    </row>
    <row r="37" spans="1:13" x14ac:dyDescent="0.35">
      <c r="A37" s="176">
        <v>36</v>
      </c>
      <c r="B37" s="137">
        <v>125</v>
      </c>
      <c r="C37" s="137">
        <v>8.5</v>
      </c>
      <c r="D37" s="137"/>
      <c r="E37" s="137">
        <v>17</v>
      </c>
      <c r="F37" s="138">
        <v>15</v>
      </c>
      <c r="G37" s="138"/>
      <c r="H37" s="138"/>
      <c r="I37" s="138"/>
      <c r="J37" s="241">
        <f t="shared" si="1"/>
        <v>4.0369465598628848E-2</v>
      </c>
      <c r="K37" s="138"/>
      <c r="L37" s="137" t="s">
        <v>13</v>
      </c>
      <c r="M37" s="177"/>
    </row>
    <row r="38" spans="1:13" x14ac:dyDescent="0.35">
      <c r="A38" s="176">
        <v>37</v>
      </c>
      <c r="B38" s="137">
        <v>46</v>
      </c>
      <c r="C38" s="137">
        <v>3</v>
      </c>
      <c r="D38" s="137">
        <v>5</v>
      </c>
      <c r="E38" s="137"/>
      <c r="F38" s="138"/>
      <c r="G38" s="138"/>
      <c r="H38" s="138"/>
      <c r="I38" s="138"/>
      <c r="J38" s="241">
        <f t="shared" si="1"/>
        <v>1.9634954084936209E-3</v>
      </c>
      <c r="K38" s="138"/>
      <c r="L38" s="137" t="s">
        <v>5</v>
      </c>
      <c r="M38" s="177"/>
    </row>
    <row r="39" spans="1:13" x14ac:dyDescent="0.35">
      <c r="A39" s="176">
        <v>38</v>
      </c>
      <c r="B39" s="137">
        <v>125</v>
      </c>
      <c r="C39" s="137">
        <v>9</v>
      </c>
      <c r="D39" s="137">
        <v>25</v>
      </c>
      <c r="E39" s="137"/>
      <c r="F39" s="138"/>
      <c r="G39" s="138"/>
      <c r="H39" s="138"/>
      <c r="I39" s="138"/>
      <c r="J39" s="241">
        <f t="shared" si="1"/>
        <v>4.9087385212340517E-2</v>
      </c>
      <c r="K39" s="138"/>
      <c r="L39" s="137" t="s">
        <v>12</v>
      </c>
      <c r="M39" s="177"/>
    </row>
    <row r="40" spans="1:13" x14ac:dyDescent="0.35">
      <c r="A40" s="176">
        <v>39</v>
      </c>
      <c r="B40" s="137">
        <v>125</v>
      </c>
      <c r="C40" s="137">
        <v>8.5</v>
      </c>
      <c r="D40" s="137"/>
      <c r="E40" s="137">
        <v>12</v>
      </c>
      <c r="F40" s="138">
        <v>16</v>
      </c>
      <c r="G40" s="138"/>
      <c r="H40" s="138"/>
      <c r="I40" s="138"/>
      <c r="J40" s="241">
        <f t="shared" si="1"/>
        <v>3.1415926535897934E-2</v>
      </c>
      <c r="K40" s="138"/>
      <c r="L40" s="137" t="s">
        <v>10</v>
      </c>
      <c r="M40" s="177"/>
    </row>
    <row r="41" spans="1:13" x14ac:dyDescent="0.35">
      <c r="A41" s="176">
        <v>40</v>
      </c>
      <c r="B41" s="137">
        <v>125</v>
      </c>
      <c r="C41" s="137">
        <v>7</v>
      </c>
      <c r="D41" s="137">
        <v>12</v>
      </c>
      <c r="E41" s="137"/>
      <c r="F41" s="138"/>
      <c r="G41" s="138"/>
      <c r="H41" s="138"/>
      <c r="I41" s="138"/>
      <c r="J41" s="241">
        <f t="shared" si="1"/>
        <v>1.1309733552923255E-2</v>
      </c>
      <c r="K41" s="138"/>
      <c r="L41" s="137" t="s">
        <v>6</v>
      </c>
      <c r="M41" s="177"/>
    </row>
    <row r="42" spans="1:13" x14ac:dyDescent="0.35">
      <c r="A42" s="176">
        <v>41</v>
      </c>
      <c r="B42" s="137">
        <v>125</v>
      </c>
      <c r="C42" s="137">
        <v>7.5</v>
      </c>
      <c r="D42" s="137"/>
      <c r="E42" s="137">
        <v>14</v>
      </c>
      <c r="F42" s="138">
        <v>12</v>
      </c>
      <c r="G42" s="138"/>
      <c r="H42" s="138"/>
      <c r="I42" s="138"/>
      <c r="J42" s="241">
        <f t="shared" si="1"/>
        <v>2.6703537555513242E-2</v>
      </c>
      <c r="K42" s="138"/>
      <c r="L42" s="137"/>
      <c r="M42" s="177"/>
    </row>
    <row r="43" spans="1:13" x14ac:dyDescent="0.35">
      <c r="A43" s="176">
        <v>42</v>
      </c>
      <c r="B43" s="137">
        <v>125</v>
      </c>
      <c r="C43" s="137">
        <v>8.5</v>
      </c>
      <c r="D43" s="137">
        <v>21</v>
      </c>
      <c r="E43" s="137"/>
      <c r="F43" s="138"/>
      <c r="G43" s="138"/>
      <c r="H43" s="138"/>
      <c r="I43" s="138"/>
      <c r="J43" s="241">
        <f t="shared" si="1"/>
        <v>3.4636059005827467E-2</v>
      </c>
      <c r="K43" s="138"/>
      <c r="L43" s="137" t="s">
        <v>12</v>
      </c>
      <c r="M43" s="177"/>
    </row>
    <row r="44" spans="1:13" x14ac:dyDescent="0.35">
      <c r="A44" s="176">
        <v>43</v>
      </c>
      <c r="B44" s="137">
        <v>125</v>
      </c>
      <c r="C44" s="137">
        <v>9</v>
      </c>
      <c r="D44" s="137">
        <v>21</v>
      </c>
      <c r="E44" s="137"/>
      <c r="F44" s="138"/>
      <c r="G44" s="138"/>
      <c r="H44" s="138"/>
      <c r="I44" s="138"/>
      <c r="J44" s="241">
        <f t="shared" si="1"/>
        <v>3.4636059005827467E-2</v>
      </c>
      <c r="K44" s="138"/>
      <c r="L44" s="137" t="s">
        <v>12</v>
      </c>
      <c r="M44" s="177"/>
    </row>
    <row r="45" spans="1:13" x14ac:dyDescent="0.35">
      <c r="A45" s="176">
        <v>44</v>
      </c>
      <c r="B45" s="137">
        <v>125</v>
      </c>
      <c r="C45" s="137">
        <v>2</v>
      </c>
      <c r="D45" s="137"/>
      <c r="E45" s="137">
        <v>9</v>
      </c>
      <c r="F45" s="138">
        <v>12</v>
      </c>
      <c r="G45" s="138"/>
      <c r="H45" s="138"/>
      <c r="I45" s="138"/>
      <c r="J45" s="241">
        <f t="shared" si="1"/>
        <v>1.7671458676442584E-2</v>
      </c>
      <c r="K45" s="138"/>
      <c r="L45" s="137" t="s">
        <v>6</v>
      </c>
      <c r="M45" s="177" t="s">
        <v>16</v>
      </c>
    </row>
    <row r="46" spans="1:13" x14ac:dyDescent="0.35">
      <c r="A46" s="176">
        <v>45</v>
      </c>
      <c r="B46" s="137">
        <v>125</v>
      </c>
      <c r="C46" s="137">
        <v>8</v>
      </c>
      <c r="D46" s="137"/>
      <c r="E46" s="137">
        <v>18</v>
      </c>
      <c r="F46" s="138">
        <v>18</v>
      </c>
      <c r="G46" s="138"/>
      <c r="H46" s="138"/>
      <c r="I46" s="138"/>
      <c r="J46" s="241">
        <f t="shared" si="1"/>
        <v>5.0893800988154644E-2</v>
      </c>
      <c r="K46" s="138"/>
      <c r="L46" s="137" t="s">
        <v>13</v>
      </c>
      <c r="M46" s="177"/>
    </row>
    <row r="47" spans="1:13" x14ac:dyDescent="0.35">
      <c r="A47" s="176">
        <v>46</v>
      </c>
      <c r="B47" s="137">
        <v>125</v>
      </c>
      <c r="C47" s="137">
        <v>8</v>
      </c>
      <c r="D47" s="137">
        <v>16</v>
      </c>
      <c r="E47" s="137"/>
      <c r="F47" s="138"/>
      <c r="G47" s="138"/>
      <c r="H47" s="138"/>
      <c r="I47" s="138"/>
      <c r="J47" s="241">
        <f t="shared" si="1"/>
        <v>2.0106192982974676E-2</v>
      </c>
      <c r="K47" s="138"/>
      <c r="L47" s="137" t="s">
        <v>10</v>
      </c>
      <c r="M47" s="177"/>
    </row>
    <row r="48" spans="1:13" x14ac:dyDescent="0.35">
      <c r="A48" s="176">
        <v>47</v>
      </c>
      <c r="B48" s="137">
        <v>125</v>
      </c>
      <c r="C48" s="137">
        <v>8</v>
      </c>
      <c r="D48" s="137">
        <v>7</v>
      </c>
      <c r="E48" s="137"/>
      <c r="F48" s="138"/>
      <c r="G48" s="138"/>
      <c r="H48" s="138"/>
      <c r="I48" s="138"/>
      <c r="J48" s="241">
        <f t="shared" si="1"/>
        <v>3.8484510006474969E-3</v>
      </c>
      <c r="K48" s="138"/>
      <c r="L48" s="137" t="s">
        <v>10</v>
      </c>
      <c r="M48" s="177"/>
    </row>
    <row r="49" spans="1:13" x14ac:dyDescent="0.35">
      <c r="A49" s="176">
        <v>48</v>
      </c>
      <c r="B49" s="137">
        <v>125</v>
      </c>
      <c r="C49" s="137">
        <v>9</v>
      </c>
      <c r="D49" s="137"/>
      <c r="E49" s="137">
        <v>17</v>
      </c>
      <c r="F49" s="138">
        <v>8</v>
      </c>
      <c r="G49" s="138">
        <v>12</v>
      </c>
      <c r="H49" s="138"/>
      <c r="I49" s="138"/>
      <c r="J49" s="241">
        <f t="shared" si="1"/>
        <v>3.9034288720853183E-2</v>
      </c>
      <c r="K49" s="138"/>
      <c r="L49" s="137" t="s">
        <v>10</v>
      </c>
      <c r="M49" s="177"/>
    </row>
    <row r="50" spans="1:13" x14ac:dyDescent="0.35">
      <c r="A50" s="176">
        <v>49</v>
      </c>
      <c r="B50" s="137">
        <v>125</v>
      </c>
      <c r="C50" s="137">
        <v>7.5</v>
      </c>
      <c r="D50" s="137">
        <v>22</v>
      </c>
      <c r="E50" s="137"/>
      <c r="F50" s="138"/>
      <c r="G50" s="138"/>
      <c r="H50" s="138"/>
      <c r="I50" s="138"/>
      <c r="J50" s="241">
        <f t="shared" si="1"/>
        <v>3.8013271108436497E-2</v>
      </c>
      <c r="K50" s="138"/>
      <c r="L50" s="137" t="s">
        <v>12</v>
      </c>
      <c r="M50" s="177"/>
    </row>
    <row r="51" spans="1:13" x14ac:dyDescent="0.35">
      <c r="A51" s="176">
        <v>50</v>
      </c>
      <c r="B51" s="137">
        <v>125</v>
      </c>
      <c r="C51" s="137">
        <v>8</v>
      </c>
      <c r="D51" s="137">
        <v>19</v>
      </c>
      <c r="E51" s="137"/>
      <c r="F51" s="138"/>
      <c r="G51" s="138"/>
      <c r="H51" s="138"/>
      <c r="I51" s="138"/>
      <c r="J51" s="241">
        <f t="shared" si="1"/>
        <v>2.8352873698647883E-2</v>
      </c>
      <c r="K51" s="138"/>
      <c r="L51" s="137" t="s">
        <v>13</v>
      </c>
      <c r="M51" s="177"/>
    </row>
    <row r="52" spans="1:13" x14ac:dyDescent="0.35">
      <c r="A52" s="176">
        <v>51</v>
      </c>
      <c r="B52" s="137">
        <v>125</v>
      </c>
      <c r="C52" s="137">
        <v>9</v>
      </c>
      <c r="D52" s="137"/>
      <c r="E52" s="137">
        <v>14</v>
      </c>
      <c r="F52" s="138">
        <v>18</v>
      </c>
      <c r="G52" s="138"/>
      <c r="H52" s="138"/>
      <c r="I52" s="138"/>
      <c r="J52" s="241">
        <f t="shared" si="1"/>
        <v>4.084070449666731E-2</v>
      </c>
      <c r="K52" s="138"/>
      <c r="L52" s="137" t="s">
        <v>13</v>
      </c>
      <c r="M52" s="177"/>
    </row>
    <row r="53" spans="1:13" x14ac:dyDescent="0.35">
      <c r="A53" s="176">
        <v>52</v>
      </c>
      <c r="B53" s="137">
        <v>125</v>
      </c>
      <c r="C53" s="137">
        <v>9</v>
      </c>
      <c r="D53" s="137">
        <v>25</v>
      </c>
      <c r="E53" s="138"/>
      <c r="F53" s="138"/>
      <c r="G53" s="138"/>
      <c r="H53" s="138"/>
      <c r="I53" s="138"/>
      <c r="J53" s="241">
        <f t="shared" si="1"/>
        <v>4.9087385212340517E-2</v>
      </c>
      <c r="K53" s="138"/>
      <c r="L53" s="137" t="s">
        <v>12</v>
      </c>
      <c r="M53" s="177"/>
    </row>
    <row r="54" spans="1:13" x14ac:dyDescent="0.35">
      <c r="A54" s="176">
        <v>53</v>
      </c>
      <c r="B54" s="137">
        <v>125</v>
      </c>
      <c r="C54" s="137">
        <v>4</v>
      </c>
      <c r="D54" s="137"/>
      <c r="E54" s="137">
        <v>11</v>
      </c>
      <c r="F54" s="137">
        <v>4</v>
      </c>
      <c r="G54" s="137">
        <v>14</v>
      </c>
      <c r="H54" s="137"/>
      <c r="I54" s="137"/>
      <c r="J54" s="146">
        <f t="shared" si="1"/>
        <v>2.6153758841135029E-2</v>
      </c>
      <c r="K54" s="137"/>
      <c r="L54" s="137" t="s">
        <v>6</v>
      </c>
      <c r="M54" s="177"/>
    </row>
    <row r="55" spans="1:13" x14ac:dyDescent="0.35">
      <c r="A55" s="176">
        <v>54</v>
      </c>
      <c r="B55" s="137">
        <v>125</v>
      </c>
      <c r="C55" s="137">
        <v>8.5</v>
      </c>
      <c r="D55" s="137"/>
      <c r="E55" s="137">
        <v>21</v>
      </c>
      <c r="F55" s="137">
        <v>18</v>
      </c>
      <c r="G55" s="137"/>
      <c r="H55" s="137"/>
      <c r="I55" s="137"/>
      <c r="J55" s="146">
        <f t="shared" si="1"/>
        <v>6.0082959499904789E-2</v>
      </c>
      <c r="K55" s="137"/>
      <c r="L55" s="137" t="s">
        <v>13</v>
      </c>
      <c r="M55" s="177"/>
    </row>
    <row r="56" spans="1:13" ht="15" thickBot="1" x14ac:dyDescent="0.4">
      <c r="A56" s="178">
        <v>55</v>
      </c>
      <c r="B56" s="179">
        <v>125</v>
      </c>
      <c r="C56" s="179">
        <v>8</v>
      </c>
      <c r="D56" s="179">
        <v>17</v>
      </c>
      <c r="E56" s="179"/>
      <c r="F56" s="179"/>
      <c r="G56" s="179"/>
      <c r="H56" s="179"/>
      <c r="I56" s="179"/>
      <c r="J56" s="204">
        <f t="shared" si="1"/>
        <v>2.2698006922186261E-2</v>
      </c>
      <c r="K56" s="179"/>
      <c r="L56" s="179" t="s">
        <v>10</v>
      </c>
      <c r="M56" s="180"/>
    </row>
    <row r="57" spans="1:13" x14ac:dyDescent="0.35">
      <c r="A57" s="229">
        <f>SUBTOTAL(103,Tabla10[número de árboles])</f>
        <v>55</v>
      </c>
      <c r="B57" s="229" t="s">
        <v>146</v>
      </c>
      <c r="C57" s="238">
        <f>SUBTOTAL(101,Tabla10[altura])</f>
        <v>7.7764705882352949</v>
      </c>
      <c r="D57" s="238">
        <f>SUBTOTAL(101,Tabla10[diámetro])</f>
        <v>17.37142857142857</v>
      </c>
      <c r="E57" s="238">
        <f>SUBTOTAL(101,Tabla10[Hermanado1])</f>
        <v>13.947368421052632</v>
      </c>
      <c r="F57" s="238">
        <f>SUBTOTAL(101,Tabla10[Hermanado2])</f>
        <v>14.789473684210526</v>
      </c>
      <c r="G57" s="239"/>
      <c r="H57" s="78"/>
      <c r="I57" s="79"/>
      <c r="J57" s="79"/>
      <c r="K57">
        <f>SUBTOTAL(109,Tabla10[apeados])</f>
        <v>3</v>
      </c>
      <c r="L57" s="323"/>
      <c r="M57" s="36">
        <f>SUBTOTAL(103,Tabla10[observaciones])</f>
        <v>4</v>
      </c>
    </row>
    <row r="58" spans="1:13" ht="58" x14ac:dyDescent="0.35">
      <c r="A58" s="247" t="s">
        <v>216</v>
      </c>
      <c r="B58" s="247" t="s">
        <v>220</v>
      </c>
      <c r="C58" s="247" t="s">
        <v>218</v>
      </c>
      <c r="D58" s="247" t="s">
        <v>219</v>
      </c>
      <c r="E58" s="247" t="s">
        <v>230</v>
      </c>
      <c r="F58" s="247" t="s">
        <v>224</v>
      </c>
      <c r="G58" s="247" t="s">
        <v>226</v>
      </c>
      <c r="H58" s="247" t="s">
        <v>227</v>
      </c>
    </row>
    <row r="59" spans="1:13" x14ac:dyDescent="0.35">
      <c r="A59" s="249">
        <f>Tabla8[[#Totals],[AB m2]]*C69/C68</f>
        <v>18.328365700308211</v>
      </c>
      <c r="B59" s="248">
        <v>37</v>
      </c>
      <c r="C59" s="248">
        <f>25*25/10000</f>
        <v>6.25E-2</v>
      </c>
      <c r="D59" s="248">
        <f>B59/C59</f>
        <v>592</v>
      </c>
      <c r="E59" s="248">
        <f>COUNT(Tabla8[[diámetro]:[Hermanado5]])</f>
        <v>66</v>
      </c>
      <c r="F59" s="248"/>
      <c r="G59" s="249" t="e">
        <f>($C$74*$E$74+$C$75*$E$75+$C$76*$E$76+$C$77*$E$77+$C$78*$E$78+$C$79*$E$79+$C$80*$E$80+$C$81*$E$81)/$E$82</f>
        <v>#VALUE!</v>
      </c>
      <c r="H59" s="250" t="e">
        <f>SQRT(($C$74^2*$E$74+$C$75^2*$E$75+$C$76^2*$E$76+$C$77^2*$E$77+$C$78^2*$E$78+$C$79^2*$E$79+$C$80^2*$E$80+$C$81^2*$E$81)/$E$82)</f>
        <v>#VALUE!</v>
      </c>
    </row>
    <row r="60" spans="1:13" x14ac:dyDescent="0.35">
      <c r="A60" s="19" t="s">
        <v>54</v>
      </c>
    </row>
    <row r="61" spans="1:13" x14ac:dyDescent="0.35">
      <c r="A61" s="19"/>
    </row>
    <row r="63" spans="1:13" ht="15" thickBot="1" x14ac:dyDescent="0.4">
      <c r="A63" s="19" t="s">
        <v>64</v>
      </c>
    </row>
    <row r="64" spans="1:13" ht="15" thickBot="1" x14ac:dyDescent="0.4">
      <c r="A64" s="365" t="s">
        <v>51</v>
      </c>
      <c r="B64" s="366"/>
      <c r="C64" s="366"/>
      <c r="D64" s="366"/>
      <c r="E64" s="366"/>
      <c r="F64" s="366"/>
      <c r="G64" s="366"/>
      <c r="H64" s="366"/>
      <c r="I64" s="366"/>
      <c r="J64" s="366"/>
      <c r="K64" s="367"/>
    </row>
    <row r="65" spans="1:11" ht="15" thickBot="1" x14ac:dyDescent="0.4">
      <c r="A65" s="19" t="s">
        <v>63</v>
      </c>
    </row>
    <row r="66" spans="1:11" ht="15" thickBot="1" x14ac:dyDescent="0.4">
      <c r="A66" s="365" t="s">
        <v>201</v>
      </c>
      <c r="B66" s="366"/>
      <c r="C66" s="366"/>
      <c r="D66" s="366"/>
      <c r="E66" s="366"/>
      <c r="F66" s="366"/>
      <c r="G66" s="366"/>
      <c r="H66" s="366"/>
      <c r="I66" s="366"/>
      <c r="J66" s="366"/>
      <c r="K66" s="367"/>
    </row>
    <row r="67" spans="1:11" ht="15" thickBot="1" x14ac:dyDescent="0.4"/>
    <row r="68" spans="1:11" ht="15" thickBot="1" x14ac:dyDescent="0.4">
      <c r="A68" t="s">
        <v>128</v>
      </c>
      <c r="B68">
        <f>COUNT(Tabla10[[diámetro]:[Hermanado5]])</f>
        <v>77</v>
      </c>
      <c r="C68">
        <f>25*25</f>
        <v>625</v>
      </c>
      <c r="E68" s="55" t="s">
        <v>29</v>
      </c>
      <c r="F68" s="56"/>
      <c r="G68" s="29" t="s">
        <v>65</v>
      </c>
      <c r="H68" s="30"/>
      <c r="I68" s="28" t="s">
        <v>4</v>
      </c>
      <c r="J68" s="30"/>
    </row>
    <row r="69" spans="1:11" ht="15" thickBot="1" x14ac:dyDescent="0.4">
      <c r="B69">
        <f>B68*C69/C68</f>
        <v>1232</v>
      </c>
      <c r="C69">
        <v>10000</v>
      </c>
      <c r="E69" s="52" t="s">
        <v>30</v>
      </c>
      <c r="F69" s="53" t="s">
        <v>31</v>
      </c>
      <c r="G69" s="43">
        <v>125</v>
      </c>
      <c r="H69" s="21" t="s">
        <v>23</v>
      </c>
      <c r="I69" s="13" t="s">
        <v>6</v>
      </c>
      <c r="J69" s="14" t="s">
        <v>58</v>
      </c>
    </row>
    <row r="70" spans="1:11" ht="21.5" thickBot="1" x14ac:dyDescent="0.55000000000000004">
      <c r="A70" s="27" t="s">
        <v>69</v>
      </c>
      <c r="B70" s="49" t="s">
        <v>28</v>
      </c>
      <c r="C70" s="10" t="s">
        <v>52</v>
      </c>
      <c r="D70" s="51" t="s">
        <v>147</v>
      </c>
      <c r="E70" s="48" t="s">
        <v>32</v>
      </c>
      <c r="F70" s="46" t="s">
        <v>33</v>
      </c>
      <c r="G70" s="44">
        <v>130</v>
      </c>
      <c r="H70" s="23" t="s">
        <v>25</v>
      </c>
      <c r="I70" s="15" t="s">
        <v>5</v>
      </c>
      <c r="J70" s="16" t="s">
        <v>59</v>
      </c>
    </row>
    <row r="71" spans="1:11" ht="15" thickBot="1" x14ac:dyDescent="0.4">
      <c r="A71" s="10"/>
      <c r="B71" s="12">
        <v>2</v>
      </c>
      <c r="C71" s="12">
        <v>1</v>
      </c>
      <c r="D71" s="10">
        <f>B69</f>
        <v>1232</v>
      </c>
      <c r="E71" s="48" t="s">
        <v>34</v>
      </c>
      <c r="F71" s="46" t="s">
        <v>35</v>
      </c>
      <c r="G71" s="44">
        <v>46</v>
      </c>
      <c r="H71" s="23" t="s">
        <v>26</v>
      </c>
      <c r="I71" s="15" t="s">
        <v>13</v>
      </c>
      <c r="J71" s="16" t="s">
        <v>60</v>
      </c>
    </row>
    <row r="72" spans="1:11" x14ac:dyDescent="0.35">
      <c r="E72" s="45" t="s">
        <v>36</v>
      </c>
      <c r="F72" s="58" t="s">
        <v>37</v>
      </c>
      <c r="G72" s="44">
        <v>43</v>
      </c>
      <c r="H72" s="23" t="s">
        <v>27</v>
      </c>
      <c r="I72" s="15" t="s">
        <v>10</v>
      </c>
      <c r="J72" s="16" t="s">
        <v>61</v>
      </c>
    </row>
    <row r="73" spans="1:11" ht="15" thickBot="1" x14ac:dyDescent="0.4">
      <c r="E73" s="45" t="s">
        <v>16</v>
      </c>
      <c r="F73" s="46" t="s">
        <v>38</v>
      </c>
      <c r="G73" s="44">
        <v>23</v>
      </c>
      <c r="H73" s="23" t="s">
        <v>22</v>
      </c>
      <c r="I73" s="17" t="s">
        <v>12</v>
      </c>
      <c r="J73" s="18" t="s">
        <v>62</v>
      </c>
    </row>
    <row r="74" spans="1:11" x14ac:dyDescent="0.35">
      <c r="E74" s="45" t="s">
        <v>39</v>
      </c>
      <c r="F74" s="46" t="s">
        <v>40</v>
      </c>
      <c r="G74" s="44">
        <v>73</v>
      </c>
      <c r="H74" s="23" t="s">
        <v>24</v>
      </c>
    </row>
    <row r="75" spans="1:11" x14ac:dyDescent="0.35">
      <c r="E75" s="45" t="s">
        <v>41</v>
      </c>
      <c r="F75" s="46" t="s">
        <v>42</v>
      </c>
      <c r="G75" s="44">
        <v>87</v>
      </c>
      <c r="H75" s="23" t="s">
        <v>47</v>
      </c>
    </row>
    <row r="76" spans="1:11" x14ac:dyDescent="0.35">
      <c r="E76" s="45" t="s">
        <v>43</v>
      </c>
      <c r="F76" s="46" t="s">
        <v>44</v>
      </c>
      <c r="G76" s="44">
        <v>3</v>
      </c>
      <c r="H76" s="23" t="s">
        <v>48</v>
      </c>
    </row>
    <row r="77" spans="1:11" x14ac:dyDescent="0.35">
      <c r="E77" s="45" t="s">
        <v>45</v>
      </c>
      <c r="F77" s="47" t="s">
        <v>46</v>
      </c>
      <c r="G77" s="44">
        <v>82</v>
      </c>
      <c r="H77" s="23" t="s">
        <v>50</v>
      </c>
    </row>
    <row r="78" spans="1:11" x14ac:dyDescent="0.35">
      <c r="G78" s="22">
        <v>83</v>
      </c>
      <c r="H78" s="23" t="s">
        <v>49</v>
      </c>
    </row>
    <row r="79" spans="1:11" x14ac:dyDescent="0.35">
      <c r="G79" s="22">
        <v>42</v>
      </c>
      <c r="H79" s="23" t="s">
        <v>51</v>
      </c>
    </row>
    <row r="80" spans="1:11" x14ac:dyDescent="0.35">
      <c r="G80" s="22">
        <v>112</v>
      </c>
      <c r="H80" s="23" t="s">
        <v>66</v>
      </c>
    </row>
    <row r="81" spans="7:8" ht="15" thickBot="1" x14ac:dyDescent="0.4">
      <c r="G81" s="25">
        <v>113</v>
      </c>
      <c r="H81" s="26" t="s">
        <v>67</v>
      </c>
    </row>
    <row r="100" spans="1:10" ht="43.5" x14ac:dyDescent="0.35">
      <c r="A100" s="251" t="s">
        <v>228</v>
      </c>
      <c r="B100" s="252" t="s">
        <v>206</v>
      </c>
      <c r="C100" s="252" t="s">
        <v>229</v>
      </c>
      <c r="D100" s="252" t="s">
        <v>142</v>
      </c>
      <c r="E100" s="252" t="s">
        <v>147</v>
      </c>
      <c r="F100" s="252" t="s">
        <v>225</v>
      </c>
      <c r="G100" s="252" t="s">
        <v>207</v>
      </c>
      <c r="H100" s="252" t="s">
        <v>231</v>
      </c>
      <c r="I100" s="252" t="s">
        <v>213</v>
      </c>
      <c r="J100" s="253" t="s">
        <v>215</v>
      </c>
    </row>
    <row r="101" spans="1:10" x14ac:dyDescent="0.35">
      <c r="A101" s="254" t="s">
        <v>212</v>
      </c>
      <c r="B101" s="257">
        <f>COUNTIF($D$2:$I$56,"&gt;=2,5")-COUNTIF($D$2:$I$56,"&gt;7,4")</f>
        <v>5</v>
      </c>
      <c r="C101" s="257">
        <v>5</v>
      </c>
      <c r="D101" s="257"/>
      <c r="E101" s="257">
        <f>(B101*10000)/625</f>
        <v>80</v>
      </c>
      <c r="F101" s="258">
        <f>(PI()/4)*(C101/100)^2</f>
        <v>1.9634954084936209E-3</v>
      </c>
      <c r="G101" s="258">
        <f>E101*F101</f>
        <v>0.15707963267948966</v>
      </c>
      <c r="H101" s="257"/>
      <c r="I101" s="257"/>
      <c r="J101" s="257"/>
    </row>
    <row r="102" spans="1:10" x14ac:dyDescent="0.35">
      <c r="A102" s="254" t="s">
        <v>211</v>
      </c>
      <c r="B102" s="257">
        <f>COUNTIF($D$2:$I$56,"&gt;=7,5")-COUNTIF($D$2:$I$56,"&gt;12,4")</f>
        <v>17</v>
      </c>
      <c r="C102" s="257">
        <v>10</v>
      </c>
      <c r="D102" s="257"/>
      <c r="E102" s="257">
        <f t="shared" ref="E102:E108" si="2">(B102*10000)/625</f>
        <v>272</v>
      </c>
      <c r="F102" s="258">
        <f t="shared" ref="F102:F108" si="3">(PI()/4)*(C102/100)^2</f>
        <v>7.8539816339744835E-3</v>
      </c>
      <c r="G102" s="258">
        <f t="shared" ref="G102:G108" si="4">E102*F102</f>
        <v>2.1362830044410597</v>
      </c>
      <c r="H102" s="257"/>
      <c r="I102" s="257"/>
      <c r="J102" s="257"/>
    </row>
    <row r="103" spans="1:10" x14ac:dyDescent="0.35">
      <c r="A103" s="254" t="s">
        <v>209</v>
      </c>
      <c r="B103" s="257">
        <f>COUNTIF($D$2:$I$56,"&gt;=12,5")-COUNTIF($D$2:$I$56,"&gt;17,4")</f>
        <v>26</v>
      </c>
      <c r="C103" s="257">
        <v>15</v>
      </c>
      <c r="D103" s="257"/>
      <c r="E103" s="257">
        <f t="shared" si="2"/>
        <v>416</v>
      </c>
      <c r="F103" s="258">
        <f t="shared" si="3"/>
        <v>1.7671458676442587E-2</v>
      </c>
      <c r="G103" s="258">
        <f t="shared" si="4"/>
        <v>7.3513268094001161</v>
      </c>
      <c r="H103" s="257"/>
      <c r="I103" s="257"/>
      <c r="J103" s="257"/>
    </row>
    <row r="104" spans="1:10" x14ac:dyDescent="0.35">
      <c r="A104" s="254" t="s">
        <v>208</v>
      </c>
      <c r="B104" s="257">
        <f>COUNTIF($D$2:$I$56,"&gt;=17,5")-COUNTIF($D$2:$I$56,"&gt;22,4")</f>
        <v>23</v>
      </c>
      <c r="C104" s="257">
        <v>20</v>
      </c>
      <c r="D104" s="257"/>
      <c r="E104" s="257">
        <f t="shared" si="2"/>
        <v>368</v>
      </c>
      <c r="F104" s="258">
        <f t="shared" si="3"/>
        <v>3.1415926535897934E-2</v>
      </c>
      <c r="G104" s="258">
        <f t="shared" si="4"/>
        <v>11.561060965210439</v>
      </c>
      <c r="H104" s="257"/>
      <c r="I104" s="257"/>
      <c r="J104" s="257"/>
    </row>
    <row r="105" spans="1:10" x14ac:dyDescent="0.35">
      <c r="A105" s="254" t="s">
        <v>210</v>
      </c>
      <c r="B105" s="257">
        <f>COUNTIF($D$2:$I$56,"&gt;=22,5")-COUNTIF($D$2:$I$56,"&gt;27,4")</f>
        <v>6</v>
      </c>
      <c r="C105" s="257">
        <v>25</v>
      </c>
      <c r="D105" s="257"/>
      <c r="E105" s="257">
        <f t="shared" si="2"/>
        <v>96</v>
      </c>
      <c r="F105" s="258">
        <f t="shared" si="3"/>
        <v>4.9087385212340517E-2</v>
      </c>
      <c r="G105" s="258">
        <f t="shared" si="4"/>
        <v>4.7123889803846897</v>
      </c>
      <c r="H105" s="257"/>
      <c r="I105" s="257"/>
      <c r="J105" s="257"/>
    </row>
    <row r="106" spans="1:10" x14ac:dyDescent="0.35">
      <c r="A106" s="254" t="s">
        <v>221</v>
      </c>
      <c r="B106" s="257">
        <f>COUNTIF($D$2:$I$56,"&gt;=27,5")-COUNTIF($D$2:$I$56,"&gt;32,4")</f>
        <v>0</v>
      </c>
      <c r="C106" s="257">
        <v>30</v>
      </c>
      <c r="D106" s="257"/>
      <c r="E106" s="257">
        <f t="shared" si="2"/>
        <v>0</v>
      </c>
      <c r="F106" s="258">
        <f t="shared" si="3"/>
        <v>7.0685834705770348E-2</v>
      </c>
      <c r="G106" s="258">
        <f t="shared" si="4"/>
        <v>0</v>
      </c>
      <c r="H106" s="257"/>
      <c r="I106" s="257"/>
      <c r="J106" s="257"/>
    </row>
    <row r="107" spans="1:10" x14ac:dyDescent="0.35">
      <c r="A107" s="254" t="s">
        <v>222</v>
      </c>
      <c r="B107" s="257">
        <f>COUNTIF($D$2:$I$56,"&gt;=32,5")-COUNTIF($D$2:$I$56,"&gt;37,4")</f>
        <v>0</v>
      </c>
      <c r="C107" s="257">
        <v>35</v>
      </c>
      <c r="D107" s="257"/>
      <c r="E107" s="257">
        <f t="shared" si="2"/>
        <v>0</v>
      </c>
      <c r="F107" s="258">
        <f t="shared" si="3"/>
        <v>9.6211275016187398E-2</v>
      </c>
      <c r="G107" s="258">
        <f t="shared" si="4"/>
        <v>0</v>
      </c>
      <c r="H107" s="257"/>
      <c r="I107" s="257"/>
      <c r="J107" s="257"/>
    </row>
    <row r="108" spans="1:10" ht="15" thickBot="1" x14ac:dyDescent="0.4">
      <c r="A108" s="254" t="s">
        <v>223</v>
      </c>
      <c r="B108" s="257">
        <f>COUNTIF($D$2:$I$60,"&gt;=37,5")-COUNTIF($D$2:$I$60,"&gt;42,4")</f>
        <v>0</v>
      </c>
      <c r="C108" s="257">
        <v>40</v>
      </c>
      <c r="D108" s="257"/>
      <c r="E108" s="257">
        <f t="shared" si="2"/>
        <v>0</v>
      </c>
      <c r="F108" s="258">
        <f t="shared" si="3"/>
        <v>0.12566370614359174</v>
      </c>
      <c r="G108" s="258">
        <f t="shared" si="4"/>
        <v>0</v>
      </c>
      <c r="H108" s="257"/>
      <c r="I108" s="257"/>
      <c r="J108" s="257"/>
    </row>
    <row r="109" spans="1:10" ht="15" thickTop="1" x14ac:dyDescent="0.35">
      <c r="A109" s="259" t="s">
        <v>146</v>
      </c>
      <c r="B109" s="260">
        <f>SUBTOTAL(109,Tabla5[NÚMERO DE PIES])</f>
        <v>66</v>
      </c>
      <c r="C109" s="260"/>
      <c r="D109" s="260"/>
      <c r="E109" s="260">
        <f>SUM(E101:E108)</f>
        <v>1232</v>
      </c>
      <c r="F109" s="263"/>
      <c r="G109" s="261">
        <f>SUBTOTAL(109,Tabla5[G (m2/ha.)])</f>
        <v>18.064157758141313</v>
      </c>
      <c r="H109" s="260"/>
      <c r="I109" s="260"/>
      <c r="J109" s="260">
        <f>SUBTOTAL(103,Tabla5[AB (m2) final])</f>
        <v>0</v>
      </c>
    </row>
  </sheetData>
  <mergeCells count="2">
    <mergeCell ref="A64:K64"/>
    <mergeCell ref="A66:K66"/>
  </mergeCells>
  <pageMargins left="0.7" right="0.7" top="0.75" bottom="0.75" header="0.3" footer="0.3"/>
  <pageSetup paperSize="8" scale="64" orientation="portrait" r:id="rId1"/>
  <headerFooter>
    <oddHeader>&amp;C
Parcela  &amp;"-,Negrita"&amp;K09+000B3</oddHead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61" zoomScale="110" zoomScaleNormal="100" zoomScalePageLayoutView="110" workbookViewId="0">
      <selection activeCell="E109" sqref="E109"/>
    </sheetView>
  </sheetViews>
  <sheetFormatPr baseColWidth="10" defaultColWidth="8.7265625" defaultRowHeight="14.5" x14ac:dyDescent="0.35"/>
  <cols>
    <col min="1" max="1" width="18.6328125" customWidth="1"/>
    <col min="2" max="2" width="9" customWidth="1"/>
    <col min="4" max="4" width="10.453125" customWidth="1"/>
    <col min="5" max="6" width="13.7265625" customWidth="1"/>
    <col min="7" max="7" width="14.7265625" customWidth="1"/>
    <col min="8" max="8" width="13.7265625" customWidth="1"/>
    <col min="9" max="10" width="9.90625" customWidth="1"/>
    <col min="11" max="11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198" t="s">
        <v>195</v>
      </c>
      <c r="J1" s="198" t="s">
        <v>238</v>
      </c>
      <c r="K1" s="34" t="s">
        <v>144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7</v>
      </c>
      <c r="D2" s="174">
        <v>16</v>
      </c>
      <c r="E2" s="174"/>
      <c r="F2" s="190"/>
      <c r="G2" s="190"/>
      <c r="H2" s="190"/>
      <c r="I2" s="190"/>
      <c r="J2" s="237">
        <f t="shared" ref="J2:J33" si="0">PI()*(((C2)/2)/100)^2+PI()*(((D2)/2)/100)^2+PI()*(((E2)/2)/100)^2+PI()*(((F2)/2)/100)^2+PI()*(((G2)/2)/100)^2+PI()*(((H2)/2)/100)^2</f>
        <v>2.3954643983622174E-2</v>
      </c>
      <c r="K2" s="190"/>
      <c r="L2" s="174" t="s">
        <v>73</v>
      </c>
      <c r="M2" s="175"/>
    </row>
    <row r="3" spans="1:13" x14ac:dyDescent="0.35">
      <c r="A3" s="176">
        <v>2</v>
      </c>
      <c r="B3" s="137">
        <v>125</v>
      </c>
      <c r="C3" s="137">
        <v>9</v>
      </c>
      <c r="D3" s="137">
        <v>16</v>
      </c>
      <c r="E3" s="137"/>
      <c r="F3" s="138"/>
      <c r="G3" s="138"/>
      <c r="H3" s="138"/>
      <c r="I3" s="138"/>
      <c r="J3" s="241">
        <f t="shared" si="0"/>
        <v>2.6467918106494008E-2</v>
      </c>
      <c r="K3" s="138"/>
      <c r="L3" s="137" t="s">
        <v>78</v>
      </c>
      <c r="M3" s="177"/>
    </row>
    <row r="4" spans="1:13" x14ac:dyDescent="0.35">
      <c r="A4" s="176">
        <v>3</v>
      </c>
      <c r="B4" s="137">
        <v>125</v>
      </c>
      <c r="C4" s="137">
        <v>8</v>
      </c>
      <c r="D4" s="137">
        <v>20</v>
      </c>
      <c r="E4" s="137"/>
      <c r="F4" s="138"/>
      <c r="G4" s="138"/>
      <c r="H4" s="138"/>
      <c r="I4" s="138"/>
      <c r="J4" s="241">
        <f t="shared" si="0"/>
        <v>3.6442474781641601E-2</v>
      </c>
      <c r="K4" s="138">
        <v>1</v>
      </c>
      <c r="L4" s="137" t="s">
        <v>78</v>
      </c>
      <c r="M4" s="177"/>
    </row>
    <row r="5" spans="1:13" x14ac:dyDescent="0.35">
      <c r="A5" s="176">
        <v>4</v>
      </c>
      <c r="B5" s="137">
        <v>125</v>
      </c>
      <c r="C5" s="137">
        <v>8.5</v>
      </c>
      <c r="D5" s="137">
        <v>16</v>
      </c>
      <c r="E5" s="137"/>
      <c r="F5" s="138"/>
      <c r="G5" s="138"/>
      <c r="H5" s="138"/>
      <c r="I5" s="138"/>
      <c r="J5" s="241">
        <f t="shared" si="0"/>
        <v>2.5780694713521242E-2</v>
      </c>
      <c r="K5" s="138"/>
      <c r="L5" s="137" t="s">
        <v>76</v>
      </c>
      <c r="M5" s="177"/>
    </row>
    <row r="6" spans="1:13" x14ac:dyDescent="0.35">
      <c r="A6" s="176">
        <v>5</v>
      </c>
      <c r="B6" s="137">
        <v>125</v>
      </c>
      <c r="C6" s="137">
        <v>7</v>
      </c>
      <c r="D6" s="137">
        <v>19</v>
      </c>
      <c r="E6" s="137"/>
      <c r="F6" s="138"/>
      <c r="G6" s="138"/>
      <c r="H6" s="138"/>
      <c r="I6" s="138"/>
      <c r="J6" s="241">
        <f t="shared" si="0"/>
        <v>3.2201324699295382E-2</v>
      </c>
      <c r="K6" s="138">
        <v>1</v>
      </c>
      <c r="L6" s="137" t="s">
        <v>73</v>
      </c>
      <c r="M6" s="177"/>
    </row>
    <row r="7" spans="1:13" x14ac:dyDescent="0.35">
      <c r="A7" s="176">
        <v>6</v>
      </c>
      <c r="B7" s="137">
        <v>130</v>
      </c>
      <c r="C7" s="137">
        <v>8.5</v>
      </c>
      <c r="D7" s="137">
        <v>23</v>
      </c>
      <c r="E7" s="137"/>
      <c r="F7" s="138"/>
      <c r="G7" s="138"/>
      <c r="H7" s="138"/>
      <c r="I7" s="138"/>
      <c r="J7" s="241">
        <f t="shared" si="0"/>
        <v>4.7222064574271583E-2</v>
      </c>
      <c r="K7" s="138"/>
      <c r="L7" s="137" t="s">
        <v>76</v>
      </c>
      <c r="M7" s="177"/>
    </row>
    <row r="8" spans="1:13" x14ac:dyDescent="0.35">
      <c r="A8" s="176">
        <v>7</v>
      </c>
      <c r="B8" s="137">
        <v>130</v>
      </c>
      <c r="C8" s="137">
        <v>7</v>
      </c>
      <c r="D8" s="137">
        <v>11</v>
      </c>
      <c r="E8" s="137"/>
      <c r="F8" s="138"/>
      <c r="G8" s="138"/>
      <c r="H8" s="138"/>
      <c r="I8" s="138"/>
      <c r="J8" s="241">
        <f t="shared" si="0"/>
        <v>1.3351768777756621E-2</v>
      </c>
      <c r="K8" s="138"/>
      <c r="L8" s="137" t="s">
        <v>74</v>
      </c>
      <c r="M8" s="177"/>
    </row>
    <row r="9" spans="1:13" x14ac:dyDescent="0.35">
      <c r="A9" s="176">
        <v>8</v>
      </c>
      <c r="B9" s="137">
        <v>125</v>
      </c>
      <c r="C9" s="137">
        <v>7.5</v>
      </c>
      <c r="D9" s="137">
        <v>20</v>
      </c>
      <c r="E9" s="137"/>
      <c r="F9" s="138"/>
      <c r="G9" s="138"/>
      <c r="H9" s="138"/>
      <c r="I9" s="138"/>
      <c r="J9" s="241">
        <f t="shared" si="0"/>
        <v>3.5833791205008583E-2</v>
      </c>
      <c r="K9" s="138">
        <v>1</v>
      </c>
      <c r="L9" s="137" t="s">
        <v>73</v>
      </c>
      <c r="M9" s="177"/>
    </row>
    <row r="10" spans="1:13" x14ac:dyDescent="0.35">
      <c r="A10" s="176">
        <v>9</v>
      </c>
      <c r="B10" s="137">
        <v>130</v>
      </c>
      <c r="C10" s="137">
        <v>6.5</v>
      </c>
      <c r="D10" s="137">
        <v>17</v>
      </c>
      <c r="E10" s="137"/>
      <c r="F10" s="138"/>
      <c r="G10" s="138"/>
      <c r="H10" s="138"/>
      <c r="I10" s="138"/>
      <c r="J10" s="241">
        <f t="shared" si="0"/>
        <v>2.601631416254048E-2</v>
      </c>
      <c r="K10" s="138"/>
      <c r="L10" s="137" t="s">
        <v>75</v>
      </c>
      <c r="M10" s="177"/>
    </row>
    <row r="11" spans="1:13" x14ac:dyDescent="0.35">
      <c r="A11" s="176">
        <v>10</v>
      </c>
      <c r="B11" s="137">
        <v>125</v>
      </c>
      <c r="C11" s="137">
        <v>3.5</v>
      </c>
      <c r="D11" s="137">
        <v>7</v>
      </c>
      <c r="E11" s="137"/>
      <c r="F11" s="138"/>
      <c r="G11" s="138"/>
      <c r="H11" s="138"/>
      <c r="I11" s="138"/>
      <c r="J11" s="241">
        <f t="shared" si="0"/>
        <v>4.8105637508093716E-3</v>
      </c>
      <c r="K11" s="138">
        <v>1</v>
      </c>
      <c r="L11" s="137" t="s">
        <v>82</v>
      </c>
      <c r="M11" s="177" t="s">
        <v>91</v>
      </c>
    </row>
    <row r="12" spans="1:13" x14ac:dyDescent="0.35">
      <c r="A12" s="176">
        <v>11</v>
      </c>
      <c r="B12" s="137">
        <v>130</v>
      </c>
      <c r="C12" s="137">
        <v>7.5</v>
      </c>
      <c r="D12" s="137">
        <v>13</v>
      </c>
      <c r="E12" s="137"/>
      <c r="F12" s="138"/>
      <c r="G12" s="138"/>
      <c r="H12" s="138"/>
      <c r="I12" s="138"/>
      <c r="J12" s="241">
        <f t="shared" si="0"/>
        <v>1.7691093630527524E-2</v>
      </c>
      <c r="K12" s="138"/>
      <c r="L12" s="137" t="s">
        <v>73</v>
      </c>
      <c r="M12" s="177"/>
    </row>
    <row r="13" spans="1:13" x14ac:dyDescent="0.35">
      <c r="A13" s="176">
        <v>12</v>
      </c>
      <c r="B13" s="137">
        <v>130</v>
      </c>
      <c r="C13" s="137">
        <v>7.5</v>
      </c>
      <c r="D13" s="137">
        <v>15</v>
      </c>
      <c r="E13" s="137"/>
      <c r="F13" s="138"/>
      <c r="G13" s="138"/>
      <c r="H13" s="138"/>
      <c r="I13" s="138"/>
      <c r="J13" s="241">
        <f t="shared" si="0"/>
        <v>2.2089323345553233E-2</v>
      </c>
      <c r="K13" s="138"/>
      <c r="L13" s="137" t="s">
        <v>73</v>
      </c>
      <c r="M13" s="177"/>
    </row>
    <row r="14" spans="1:13" x14ac:dyDescent="0.35">
      <c r="A14" s="176">
        <v>13</v>
      </c>
      <c r="B14" s="137">
        <v>125</v>
      </c>
      <c r="C14" s="137">
        <v>7.5</v>
      </c>
      <c r="D14" s="137">
        <v>17</v>
      </c>
      <c r="E14" s="137"/>
      <c r="F14" s="138"/>
      <c r="G14" s="138"/>
      <c r="H14" s="138"/>
      <c r="I14" s="138"/>
      <c r="J14" s="241">
        <f t="shared" si="0"/>
        <v>2.7115871591296907E-2</v>
      </c>
      <c r="K14" s="138"/>
      <c r="L14" s="137" t="s">
        <v>73</v>
      </c>
      <c r="M14" s="177"/>
    </row>
    <row r="15" spans="1:13" x14ac:dyDescent="0.35">
      <c r="A15" s="176">
        <v>14</v>
      </c>
      <c r="B15" s="137">
        <v>130</v>
      </c>
      <c r="C15" s="137">
        <v>6</v>
      </c>
      <c r="D15" s="137">
        <v>14</v>
      </c>
      <c r="E15" s="137"/>
      <c r="F15" s="138"/>
      <c r="G15" s="138"/>
      <c r="H15" s="138"/>
      <c r="I15" s="138"/>
      <c r="J15" s="241">
        <f t="shared" si="0"/>
        <v>1.8221237390820801E-2</v>
      </c>
      <c r="K15" s="138"/>
      <c r="L15" s="137" t="s">
        <v>74</v>
      </c>
      <c r="M15" s="177" t="s">
        <v>84</v>
      </c>
    </row>
    <row r="16" spans="1:13" x14ac:dyDescent="0.35">
      <c r="A16" s="176">
        <v>15</v>
      </c>
      <c r="B16" s="137">
        <v>125</v>
      </c>
      <c r="C16" s="137">
        <v>2</v>
      </c>
      <c r="D16" s="137">
        <v>11</v>
      </c>
      <c r="E16" s="137"/>
      <c r="F16" s="138"/>
      <c r="G16" s="138"/>
      <c r="H16" s="138"/>
      <c r="I16" s="138"/>
      <c r="J16" s="241">
        <f t="shared" si="0"/>
        <v>9.8174770424681035E-3</v>
      </c>
      <c r="K16" s="138"/>
      <c r="L16" s="137" t="s">
        <v>76</v>
      </c>
      <c r="M16" s="177" t="s">
        <v>84</v>
      </c>
    </row>
    <row r="17" spans="1:13" x14ac:dyDescent="0.35">
      <c r="A17" s="176">
        <v>16</v>
      </c>
      <c r="B17" s="137">
        <v>125</v>
      </c>
      <c r="C17" s="137">
        <v>8.5</v>
      </c>
      <c r="D17" s="137"/>
      <c r="E17" s="137">
        <v>20</v>
      </c>
      <c r="F17" s="138">
        <v>10</v>
      </c>
      <c r="G17" s="138"/>
      <c r="H17" s="138"/>
      <c r="I17" s="138"/>
      <c r="J17" s="241">
        <f t="shared" si="0"/>
        <v>4.494440990041898E-2</v>
      </c>
      <c r="K17" s="138">
        <v>1</v>
      </c>
      <c r="L17" s="137" t="s">
        <v>78</v>
      </c>
      <c r="M17" s="177"/>
    </row>
    <row r="18" spans="1:13" x14ac:dyDescent="0.35">
      <c r="A18" s="176">
        <v>17</v>
      </c>
      <c r="B18" s="137">
        <v>125</v>
      </c>
      <c r="C18" s="137">
        <v>7</v>
      </c>
      <c r="D18" s="137">
        <v>15</v>
      </c>
      <c r="E18" s="137"/>
      <c r="F18" s="138"/>
      <c r="G18" s="138"/>
      <c r="H18" s="138"/>
      <c r="I18" s="138"/>
      <c r="J18" s="241">
        <f t="shared" si="0"/>
        <v>2.1519909677090082E-2</v>
      </c>
      <c r="K18" s="138"/>
      <c r="L18" s="137" t="s">
        <v>73</v>
      </c>
      <c r="M18" s="177"/>
    </row>
    <row r="19" spans="1:13" x14ac:dyDescent="0.35">
      <c r="A19" s="176">
        <v>18</v>
      </c>
      <c r="B19" s="137">
        <v>125</v>
      </c>
      <c r="C19" s="137">
        <v>6.5</v>
      </c>
      <c r="D19" s="137">
        <v>8</v>
      </c>
      <c r="E19" s="137"/>
      <c r="F19" s="138"/>
      <c r="G19" s="138"/>
      <c r="H19" s="138"/>
      <c r="I19" s="138"/>
      <c r="J19" s="241">
        <f t="shared" si="0"/>
        <v>8.3448554860978894E-3</v>
      </c>
      <c r="K19" s="138"/>
      <c r="L19" s="137" t="s">
        <v>74</v>
      </c>
      <c r="M19" s="177"/>
    </row>
    <row r="20" spans="1:13" x14ac:dyDescent="0.35">
      <c r="A20" s="176">
        <v>19</v>
      </c>
      <c r="B20" s="137">
        <v>125</v>
      </c>
      <c r="C20" s="137">
        <v>9</v>
      </c>
      <c r="D20" s="137">
        <v>19</v>
      </c>
      <c r="E20" s="137"/>
      <c r="F20" s="138"/>
      <c r="G20" s="138"/>
      <c r="H20" s="138"/>
      <c r="I20" s="138"/>
      <c r="J20" s="241">
        <f t="shared" si="0"/>
        <v>3.4714598822167216E-2</v>
      </c>
      <c r="K20" s="138"/>
      <c r="L20" s="137" t="s">
        <v>78</v>
      </c>
      <c r="M20" s="177" t="s">
        <v>103</v>
      </c>
    </row>
    <row r="21" spans="1:13" x14ac:dyDescent="0.35">
      <c r="A21" s="176">
        <v>20</v>
      </c>
      <c r="B21" s="137">
        <v>125</v>
      </c>
      <c r="C21" s="137">
        <v>9</v>
      </c>
      <c r="D21" s="137">
        <v>21</v>
      </c>
      <c r="E21" s="137"/>
      <c r="F21" s="138"/>
      <c r="G21" s="138"/>
      <c r="H21" s="138"/>
      <c r="I21" s="138"/>
      <c r="J21" s="241">
        <f t="shared" si="0"/>
        <v>4.09977841293468E-2</v>
      </c>
      <c r="K21" s="138"/>
      <c r="L21" s="137" t="s">
        <v>78</v>
      </c>
      <c r="M21" s="177"/>
    </row>
    <row r="22" spans="1:13" x14ac:dyDescent="0.35">
      <c r="A22" s="176">
        <v>21</v>
      </c>
      <c r="B22" s="137">
        <v>125</v>
      </c>
      <c r="C22" s="137">
        <v>8.5</v>
      </c>
      <c r="D22" s="137"/>
      <c r="E22" s="137">
        <v>19</v>
      </c>
      <c r="F22" s="138">
        <v>13</v>
      </c>
      <c r="G22" s="138">
        <v>9</v>
      </c>
      <c r="H22" s="138"/>
      <c r="I22" s="138"/>
      <c r="J22" s="241">
        <f t="shared" si="0"/>
        <v>5.3662329514130663E-2</v>
      </c>
      <c r="K22" s="138">
        <v>1</v>
      </c>
      <c r="L22" s="137" t="s">
        <v>76</v>
      </c>
      <c r="M22" s="177" t="s">
        <v>84</v>
      </c>
    </row>
    <row r="23" spans="1:13" x14ac:dyDescent="0.35">
      <c r="A23" s="176">
        <v>22</v>
      </c>
      <c r="B23" s="137">
        <v>46</v>
      </c>
      <c r="C23" s="137">
        <v>2</v>
      </c>
      <c r="D23" s="137">
        <v>5</v>
      </c>
      <c r="E23" s="137"/>
      <c r="F23" s="138"/>
      <c r="G23" s="138"/>
      <c r="H23" s="138"/>
      <c r="I23" s="138"/>
      <c r="J23" s="241">
        <f t="shared" si="0"/>
        <v>2.2776546738526001E-3</v>
      </c>
      <c r="K23" s="138"/>
      <c r="L23" s="137" t="s">
        <v>75</v>
      </c>
      <c r="M23" s="177"/>
    </row>
    <row r="24" spans="1:13" x14ac:dyDescent="0.35">
      <c r="A24" s="176">
        <v>23</v>
      </c>
      <c r="B24" s="137">
        <v>125</v>
      </c>
      <c r="C24" s="137">
        <v>6</v>
      </c>
      <c r="D24" s="137">
        <v>11</v>
      </c>
      <c r="E24" s="137"/>
      <c r="F24" s="138"/>
      <c r="G24" s="138"/>
      <c r="H24" s="138"/>
      <c r="I24" s="138"/>
      <c r="J24" s="241">
        <f t="shared" si="0"/>
        <v>1.2330751165339937E-2</v>
      </c>
      <c r="K24" s="138"/>
      <c r="L24" s="137" t="s">
        <v>74</v>
      </c>
      <c r="M24" s="177"/>
    </row>
    <row r="25" spans="1:13" x14ac:dyDescent="0.35">
      <c r="A25" s="176">
        <v>24</v>
      </c>
      <c r="B25" s="137">
        <v>125</v>
      </c>
      <c r="C25" s="137">
        <v>2.5</v>
      </c>
      <c r="D25" s="137">
        <v>9</v>
      </c>
      <c r="E25" s="137"/>
      <c r="F25" s="138"/>
      <c r="G25" s="138"/>
      <c r="H25" s="138"/>
      <c r="I25" s="138"/>
      <c r="J25" s="241">
        <f t="shared" si="0"/>
        <v>6.8525989756427355E-3</v>
      </c>
      <c r="K25" s="138"/>
      <c r="L25" s="137" t="s">
        <v>82</v>
      </c>
      <c r="M25" s="177" t="s">
        <v>106</v>
      </c>
    </row>
    <row r="26" spans="1:13" x14ac:dyDescent="0.35">
      <c r="A26" s="176">
        <v>25</v>
      </c>
      <c r="B26" s="137">
        <v>125</v>
      </c>
      <c r="C26" s="137">
        <v>6</v>
      </c>
      <c r="D26" s="137">
        <v>12</v>
      </c>
      <c r="E26" s="137"/>
      <c r="F26" s="138"/>
      <c r="G26" s="138"/>
      <c r="H26" s="138"/>
      <c r="I26" s="138"/>
      <c r="J26" s="241">
        <f t="shared" si="0"/>
        <v>1.4137166941154067E-2</v>
      </c>
      <c r="K26" s="138">
        <v>1</v>
      </c>
      <c r="L26" s="137" t="s">
        <v>74</v>
      </c>
      <c r="M26" s="177"/>
    </row>
    <row r="27" spans="1:13" x14ac:dyDescent="0.35">
      <c r="A27" s="176">
        <v>26</v>
      </c>
      <c r="B27" s="137">
        <v>125</v>
      </c>
      <c r="C27" s="137">
        <v>8.5</v>
      </c>
      <c r="D27" s="137"/>
      <c r="E27" s="137">
        <v>21</v>
      </c>
      <c r="F27" s="138">
        <v>7</v>
      </c>
      <c r="G27" s="138">
        <v>5</v>
      </c>
      <c r="H27" s="138"/>
      <c r="I27" s="138"/>
      <c r="J27" s="241">
        <f t="shared" si="0"/>
        <v>4.6122507145515156E-2</v>
      </c>
      <c r="K27" s="138">
        <v>1</v>
      </c>
      <c r="L27" s="137" t="s">
        <v>76</v>
      </c>
      <c r="M27" s="177"/>
    </row>
    <row r="28" spans="1:13" x14ac:dyDescent="0.35">
      <c r="A28" s="176">
        <v>27</v>
      </c>
      <c r="B28" s="137">
        <v>125</v>
      </c>
      <c r="C28" s="137">
        <v>6.5</v>
      </c>
      <c r="D28" s="137"/>
      <c r="E28" s="137">
        <v>15</v>
      </c>
      <c r="F28" s="138">
        <v>16</v>
      </c>
      <c r="G28" s="138"/>
      <c r="H28" s="138"/>
      <c r="I28" s="138"/>
      <c r="J28" s="241">
        <f t="shared" si="0"/>
        <v>4.1095958899771481E-2</v>
      </c>
      <c r="K28" s="138">
        <v>1</v>
      </c>
      <c r="L28" s="137" t="s">
        <v>74</v>
      </c>
      <c r="M28" s="177"/>
    </row>
    <row r="29" spans="1:13" x14ac:dyDescent="0.35">
      <c r="A29" s="176">
        <v>28</v>
      </c>
      <c r="B29" s="137">
        <v>125</v>
      </c>
      <c r="C29" s="137">
        <v>5</v>
      </c>
      <c r="D29" s="137">
        <v>6</v>
      </c>
      <c r="E29" s="137"/>
      <c r="F29" s="138"/>
      <c r="G29" s="138"/>
      <c r="H29" s="138"/>
      <c r="I29" s="138"/>
      <c r="J29" s="241">
        <f t="shared" si="0"/>
        <v>4.7909287967244345E-3</v>
      </c>
      <c r="K29" s="138"/>
      <c r="L29" s="137" t="s">
        <v>74</v>
      </c>
      <c r="M29" s="177"/>
    </row>
    <row r="30" spans="1:13" x14ac:dyDescent="0.35">
      <c r="A30" s="176">
        <v>29</v>
      </c>
      <c r="B30" s="137">
        <v>125</v>
      </c>
      <c r="C30" s="137">
        <v>5</v>
      </c>
      <c r="D30" s="137">
        <v>6</v>
      </c>
      <c r="E30" s="137"/>
      <c r="F30" s="138"/>
      <c r="G30" s="138"/>
      <c r="H30" s="138"/>
      <c r="I30" s="138"/>
      <c r="J30" s="241">
        <f t="shared" si="0"/>
        <v>4.7909287967244345E-3</v>
      </c>
      <c r="K30" s="138"/>
      <c r="L30" s="137" t="s">
        <v>74</v>
      </c>
      <c r="M30" s="177"/>
    </row>
    <row r="31" spans="1:13" x14ac:dyDescent="0.35">
      <c r="A31" s="176">
        <v>30</v>
      </c>
      <c r="B31" s="137">
        <v>112</v>
      </c>
      <c r="C31" s="137">
        <v>2</v>
      </c>
      <c r="D31" s="137">
        <v>5</v>
      </c>
      <c r="E31" s="137"/>
      <c r="F31" s="138"/>
      <c r="G31" s="138"/>
      <c r="H31" s="138"/>
      <c r="I31" s="138"/>
      <c r="J31" s="241">
        <f t="shared" si="0"/>
        <v>2.2776546738526001E-3</v>
      </c>
      <c r="K31" s="138"/>
      <c r="L31" s="137" t="s">
        <v>75</v>
      </c>
      <c r="M31" s="177"/>
    </row>
    <row r="32" spans="1:13" x14ac:dyDescent="0.35">
      <c r="A32" s="176">
        <v>31</v>
      </c>
      <c r="B32" s="137">
        <v>112</v>
      </c>
      <c r="C32" s="137">
        <v>2</v>
      </c>
      <c r="D32" s="137">
        <v>5</v>
      </c>
      <c r="E32" s="137"/>
      <c r="F32" s="138"/>
      <c r="G32" s="138"/>
      <c r="H32" s="138"/>
      <c r="I32" s="138"/>
      <c r="J32" s="241">
        <f t="shared" si="0"/>
        <v>2.2776546738526001E-3</v>
      </c>
      <c r="K32" s="138"/>
      <c r="L32" s="137" t="s">
        <v>75</v>
      </c>
      <c r="M32" s="177"/>
    </row>
    <row r="33" spans="1:13" x14ac:dyDescent="0.35">
      <c r="A33" s="176">
        <v>32</v>
      </c>
      <c r="B33" s="137">
        <v>125</v>
      </c>
      <c r="C33" s="137">
        <v>8</v>
      </c>
      <c r="D33" s="137">
        <v>21</v>
      </c>
      <c r="E33" s="137"/>
      <c r="F33" s="138"/>
      <c r="G33" s="138"/>
      <c r="H33" s="138"/>
      <c r="I33" s="138"/>
      <c r="J33" s="241">
        <f t="shared" si="0"/>
        <v>3.9662607251571134E-2</v>
      </c>
      <c r="K33" s="138"/>
      <c r="L33" s="137" t="s">
        <v>78</v>
      </c>
      <c r="M33" s="177"/>
    </row>
    <row r="34" spans="1:13" x14ac:dyDescent="0.35">
      <c r="A34" s="176">
        <v>33</v>
      </c>
      <c r="B34" s="137">
        <v>112</v>
      </c>
      <c r="C34" s="137">
        <v>8</v>
      </c>
      <c r="D34" s="137">
        <v>15</v>
      </c>
      <c r="E34" s="137"/>
      <c r="F34" s="138"/>
      <c r="G34" s="138"/>
      <c r="H34" s="138"/>
      <c r="I34" s="138"/>
      <c r="J34" s="241">
        <f t="shared" ref="J34:J55" si="1">PI()*(((C34)/2)/100)^2+PI()*(((D34)/2)/100)^2+PI()*(((E34)/2)/100)^2+PI()*(((F34)/2)/100)^2+PI()*(((G34)/2)/100)^2+PI()*(((H34)/2)/100)^2</f>
        <v>2.2698006922186258E-2</v>
      </c>
      <c r="K34" s="138"/>
      <c r="L34" s="137" t="s">
        <v>76</v>
      </c>
      <c r="M34" s="177"/>
    </row>
    <row r="35" spans="1:13" x14ac:dyDescent="0.35">
      <c r="A35" s="176">
        <v>34</v>
      </c>
      <c r="B35" s="137">
        <v>125</v>
      </c>
      <c r="C35" s="137">
        <v>6</v>
      </c>
      <c r="D35" s="137">
        <v>12</v>
      </c>
      <c r="E35" s="137"/>
      <c r="F35" s="138"/>
      <c r="G35" s="138"/>
      <c r="H35" s="138"/>
      <c r="I35" s="138"/>
      <c r="J35" s="241">
        <f t="shared" si="1"/>
        <v>1.4137166941154067E-2</v>
      </c>
      <c r="K35" s="138"/>
      <c r="L35" s="137" t="s">
        <v>82</v>
      </c>
      <c r="M35" s="177" t="s">
        <v>107</v>
      </c>
    </row>
    <row r="36" spans="1:13" x14ac:dyDescent="0.35">
      <c r="A36" s="176">
        <v>35</v>
      </c>
      <c r="B36" s="137">
        <v>125</v>
      </c>
      <c r="C36" s="137">
        <v>7.5</v>
      </c>
      <c r="D36" s="137">
        <v>11</v>
      </c>
      <c r="E36" s="137"/>
      <c r="F36" s="138"/>
      <c r="G36" s="138"/>
      <c r="H36" s="138"/>
      <c r="I36" s="138"/>
      <c r="J36" s="241">
        <f t="shared" si="1"/>
        <v>1.392118244621977E-2</v>
      </c>
      <c r="K36" s="138">
        <v>1</v>
      </c>
      <c r="L36" s="137" t="s">
        <v>73</v>
      </c>
      <c r="M36" s="177"/>
    </row>
    <row r="37" spans="1:13" x14ac:dyDescent="0.35">
      <c r="A37" s="176">
        <v>36</v>
      </c>
      <c r="B37" s="137">
        <v>130</v>
      </c>
      <c r="C37" s="137">
        <v>5</v>
      </c>
      <c r="D37" s="137">
        <v>8</v>
      </c>
      <c r="E37" s="137"/>
      <c r="F37" s="138"/>
      <c r="G37" s="138"/>
      <c r="H37" s="138"/>
      <c r="I37" s="138"/>
      <c r="J37" s="241">
        <f t="shared" si="1"/>
        <v>6.9900436542372898E-3</v>
      </c>
      <c r="K37" s="138"/>
      <c r="L37" s="137" t="s">
        <v>75</v>
      </c>
      <c r="M37" s="177"/>
    </row>
    <row r="38" spans="1:13" x14ac:dyDescent="0.35">
      <c r="A38" s="176">
        <v>37</v>
      </c>
      <c r="B38" s="137">
        <v>125</v>
      </c>
      <c r="C38" s="137">
        <v>8.5</v>
      </c>
      <c r="D38" s="137"/>
      <c r="E38" s="137">
        <v>13</v>
      </c>
      <c r="F38" s="138">
        <v>18</v>
      </c>
      <c r="G38" s="138"/>
      <c r="H38" s="138"/>
      <c r="I38" s="138"/>
      <c r="J38" s="241">
        <f t="shared" si="1"/>
        <v>4.439463118604077E-2</v>
      </c>
      <c r="K38" s="138"/>
      <c r="L38" s="137" t="s">
        <v>78</v>
      </c>
      <c r="M38" s="177" t="s">
        <v>77</v>
      </c>
    </row>
    <row r="39" spans="1:13" x14ac:dyDescent="0.35">
      <c r="A39" s="176">
        <v>38</v>
      </c>
      <c r="B39" s="137">
        <v>125</v>
      </c>
      <c r="C39" s="137">
        <v>7</v>
      </c>
      <c r="D39" s="137">
        <v>18</v>
      </c>
      <c r="E39" s="137"/>
      <c r="F39" s="138"/>
      <c r="G39" s="138"/>
      <c r="H39" s="138"/>
      <c r="I39" s="138"/>
      <c r="J39" s="241">
        <f t="shared" si="1"/>
        <v>2.9295351494724821E-2</v>
      </c>
      <c r="K39" s="138"/>
      <c r="L39" s="137" t="s">
        <v>73</v>
      </c>
      <c r="M39" s="177"/>
    </row>
    <row r="40" spans="1:13" x14ac:dyDescent="0.35">
      <c r="A40" s="176">
        <v>39</v>
      </c>
      <c r="B40" s="137">
        <v>125</v>
      </c>
      <c r="C40" s="137">
        <v>8.5</v>
      </c>
      <c r="D40" s="137">
        <v>21</v>
      </c>
      <c r="E40" s="137"/>
      <c r="F40" s="138"/>
      <c r="G40" s="138"/>
      <c r="H40" s="138"/>
      <c r="I40" s="138"/>
      <c r="J40" s="241">
        <f t="shared" si="1"/>
        <v>4.0310560736374033E-2</v>
      </c>
      <c r="K40" s="138">
        <v>1</v>
      </c>
      <c r="L40" s="137" t="s">
        <v>78</v>
      </c>
      <c r="M40" s="177"/>
    </row>
    <row r="41" spans="1:13" x14ac:dyDescent="0.35">
      <c r="A41" s="176">
        <v>40</v>
      </c>
      <c r="B41" s="137">
        <v>125</v>
      </c>
      <c r="C41" s="137">
        <v>6</v>
      </c>
      <c r="D41" s="137">
        <v>16</v>
      </c>
      <c r="E41" s="137"/>
      <c r="F41" s="138"/>
      <c r="G41" s="138"/>
      <c r="H41" s="138"/>
      <c r="I41" s="138"/>
      <c r="J41" s="241">
        <f t="shared" si="1"/>
        <v>2.2933626371205489E-2</v>
      </c>
      <c r="K41" s="138"/>
      <c r="L41" s="137" t="s">
        <v>74</v>
      </c>
      <c r="M41" s="177"/>
    </row>
    <row r="42" spans="1:13" x14ac:dyDescent="0.35">
      <c r="A42" s="176">
        <v>41</v>
      </c>
      <c r="B42" s="137">
        <v>125</v>
      </c>
      <c r="C42" s="137">
        <v>7</v>
      </c>
      <c r="D42" s="137">
        <v>15</v>
      </c>
      <c r="E42" s="137"/>
      <c r="F42" s="138"/>
      <c r="G42" s="138"/>
      <c r="H42" s="138"/>
      <c r="I42" s="138"/>
      <c r="J42" s="241">
        <f t="shared" si="1"/>
        <v>2.1519909677090082E-2</v>
      </c>
      <c r="K42" s="138"/>
      <c r="L42" s="137" t="s">
        <v>73</v>
      </c>
      <c r="M42" s="177"/>
    </row>
    <row r="43" spans="1:13" x14ac:dyDescent="0.35">
      <c r="A43" s="176">
        <v>42</v>
      </c>
      <c r="B43" s="137">
        <v>125</v>
      </c>
      <c r="C43" s="137">
        <v>7.5</v>
      </c>
      <c r="D43" s="137">
        <v>15</v>
      </c>
      <c r="E43" s="137"/>
      <c r="F43" s="138"/>
      <c r="G43" s="138"/>
      <c r="H43" s="138"/>
      <c r="I43" s="138"/>
      <c r="J43" s="241">
        <f t="shared" si="1"/>
        <v>2.2089323345553233E-2</v>
      </c>
      <c r="K43" s="138"/>
      <c r="L43" s="137" t="s">
        <v>73</v>
      </c>
      <c r="M43" s="177"/>
    </row>
    <row r="44" spans="1:13" x14ac:dyDescent="0.35">
      <c r="A44" s="176">
        <v>43</v>
      </c>
      <c r="B44" s="137">
        <v>112</v>
      </c>
      <c r="C44" s="137">
        <v>1.5</v>
      </c>
      <c r="D44" s="137">
        <v>5</v>
      </c>
      <c r="E44" s="137"/>
      <c r="F44" s="138"/>
      <c r="G44" s="138"/>
      <c r="H44" s="138"/>
      <c r="I44" s="138"/>
      <c r="J44" s="241">
        <f t="shared" si="1"/>
        <v>2.1402099952580467E-3</v>
      </c>
      <c r="K44" s="138"/>
      <c r="L44" s="137" t="s">
        <v>76</v>
      </c>
      <c r="M44" s="177"/>
    </row>
    <row r="45" spans="1:13" x14ac:dyDescent="0.35">
      <c r="A45" s="176">
        <v>44</v>
      </c>
      <c r="B45" s="137">
        <v>125</v>
      </c>
      <c r="C45" s="137">
        <v>7</v>
      </c>
      <c r="D45" s="137"/>
      <c r="E45" s="137">
        <v>10</v>
      </c>
      <c r="F45" s="138">
        <v>11</v>
      </c>
      <c r="G45" s="138"/>
      <c r="H45" s="138"/>
      <c r="I45" s="138"/>
      <c r="J45" s="241">
        <f t="shared" si="1"/>
        <v>2.1205750411731103E-2</v>
      </c>
      <c r="K45" s="138"/>
      <c r="L45" s="137" t="s">
        <v>74</v>
      </c>
      <c r="M45" s="177" t="s">
        <v>77</v>
      </c>
    </row>
    <row r="46" spans="1:13" x14ac:dyDescent="0.35">
      <c r="A46" s="176">
        <v>45</v>
      </c>
      <c r="B46" s="137">
        <v>125</v>
      </c>
      <c r="C46" s="137">
        <v>6.5</v>
      </c>
      <c r="D46" s="137">
        <v>8</v>
      </c>
      <c r="E46" s="137"/>
      <c r="F46" s="138"/>
      <c r="G46" s="138"/>
      <c r="H46" s="138"/>
      <c r="I46" s="138"/>
      <c r="J46" s="241">
        <f t="shared" si="1"/>
        <v>8.3448554860978894E-3</v>
      </c>
      <c r="K46" s="138"/>
      <c r="L46" s="137" t="s">
        <v>74</v>
      </c>
      <c r="M46" s="177"/>
    </row>
    <row r="47" spans="1:13" x14ac:dyDescent="0.35">
      <c r="A47" s="176">
        <v>46</v>
      </c>
      <c r="B47" s="137">
        <v>130</v>
      </c>
      <c r="C47" s="137">
        <v>7</v>
      </c>
      <c r="D47" s="137">
        <v>15</v>
      </c>
      <c r="E47" s="137"/>
      <c r="F47" s="138"/>
      <c r="G47" s="138"/>
      <c r="H47" s="138"/>
      <c r="I47" s="138"/>
      <c r="J47" s="241">
        <f t="shared" si="1"/>
        <v>2.1519909677090082E-2</v>
      </c>
      <c r="K47" s="138"/>
      <c r="L47" s="137" t="s">
        <v>73</v>
      </c>
      <c r="M47" s="177"/>
    </row>
    <row r="48" spans="1:13" x14ac:dyDescent="0.35">
      <c r="A48" s="176">
        <v>47</v>
      </c>
      <c r="B48" s="137">
        <v>125</v>
      </c>
      <c r="C48" s="137">
        <v>8</v>
      </c>
      <c r="D48" s="137"/>
      <c r="E48" s="137">
        <v>16</v>
      </c>
      <c r="F48" s="138">
        <v>10</v>
      </c>
      <c r="G48" s="138"/>
      <c r="H48" s="138"/>
      <c r="I48" s="138"/>
      <c r="J48" s="241">
        <f t="shared" si="1"/>
        <v>3.298672286269283E-2</v>
      </c>
      <c r="K48" s="138"/>
      <c r="L48" s="137" t="s">
        <v>76</v>
      </c>
      <c r="M48" s="177" t="s">
        <v>84</v>
      </c>
    </row>
    <row r="49" spans="1:13" x14ac:dyDescent="0.35">
      <c r="A49" s="176">
        <v>48</v>
      </c>
      <c r="B49" s="137">
        <v>125</v>
      </c>
      <c r="C49" s="137">
        <v>3.5</v>
      </c>
      <c r="D49" s="137">
        <v>12</v>
      </c>
      <c r="E49" s="137"/>
      <c r="F49" s="138"/>
      <c r="G49" s="138"/>
      <c r="H49" s="138"/>
      <c r="I49" s="138"/>
      <c r="J49" s="241">
        <f t="shared" si="1"/>
        <v>1.2271846303085129E-2</v>
      </c>
      <c r="K49" s="138"/>
      <c r="L49" s="137" t="s">
        <v>74</v>
      </c>
      <c r="M49" s="177" t="s">
        <v>84</v>
      </c>
    </row>
    <row r="50" spans="1:13" x14ac:dyDescent="0.35">
      <c r="A50" s="176">
        <v>49</v>
      </c>
      <c r="B50" s="137">
        <v>130</v>
      </c>
      <c r="C50" s="137">
        <v>7.5</v>
      </c>
      <c r="D50" s="137">
        <v>17</v>
      </c>
      <c r="E50" s="137"/>
      <c r="F50" s="138"/>
      <c r="G50" s="138"/>
      <c r="H50" s="138"/>
      <c r="I50" s="138"/>
      <c r="J50" s="241">
        <f t="shared" si="1"/>
        <v>2.7115871591296907E-2</v>
      </c>
      <c r="K50" s="138"/>
      <c r="L50" s="137" t="s">
        <v>73</v>
      </c>
      <c r="M50" s="177"/>
    </row>
    <row r="51" spans="1:13" x14ac:dyDescent="0.35">
      <c r="A51" s="176">
        <v>50</v>
      </c>
      <c r="B51" s="137">
        <v>125</v>
      </c>
      <c r="C51" s="137">
        <v>7.5</v>
      </c>
      <c r="D51" s="137"/>
      <c r="E51" s="138">
        <v>11</v>
      </c>
      <c r="F51" s="138">
        <v>12</v>
      </c>
      <c r="G51" s="138"/>
      <c r="H51" s="138"/>
      <c r="I51" s="138"/>
      <c r="J51" s="241">
        <f t="shared" si="1"/>
        <v>2.5230915999143025E-2</v>
      </c>
      <c r="K51" s="138"/>
      <c r="L51" s="137" t="s">
        <v>73</v>
      </c>
      <c r="M51" s="177"/>
    </row>
    <row r="52" spans="1:13" x14ac:dyDescent="0.35">
      <c r="A52" s="176">
        <v>51</v>
      </c>
      <c r="B52" s="137">
        <v>130</v>
      </c>
      <c r="C52" s="137">
        <v>8</v>
      </c>
      <c r="D52" s="137">
        <v>15</v>
      </c>
      <c r="E52" s="137"/>
      <c r="F52" s="137"/>
      <c r="G52" s="137"/>
      <c r="H52" s="137"/>
      <c r="I52" s="137"/>
      <c r="J52" s="146">
        <f t="shared" si="1"/>
        <v>2.2698006922186258E-2</v>
      </c>
      <c r="K52" s="137"/>
      <c r="L52" s="137" t="s">
        <v>76</v>
      </c>
      <c r="M52" s="177"/>
    </row>
    <row r="53" spans="1:13" x14ac:dyDescent="0.35">
      <c r="A53" s="176">
        <v>52</v>
      </c>
      <c r="B53" s="137">
        <v>125</v>
      </c>
      <c r="C53" s="137">
        <v>7.5</v>
      </c>
      <c r="D53" s="137">
        <v>14</v>
      </c>
      <c r="E53" s="137"/>
      <c r="F53" s="137"/>
      <c r="G53" s="137"/>
      <c r="H53" s="137"/>
      <c r="I53" s="137"/>
      <c r="J53" s="146">
        <f t="shared" si="1"/>
        <v>1.9811668671700634E-2</v>
      </c>
      <c r="K53" s="137">
        <v>1</v>
      </c>
      <c r="L53" s="137" t="s">
        <v>73</v>
      </c>
      <c r="M53" s="177"/>
    </row>
    <row r="54" spans="1:13" x14ac:dyDescent="0.35">
      <c r="A54" s="176">
        <v>53</v>
      </c>
      <c r="B54" s="137">
        <v>130</v>
      </c>
      <c r="C54" s="137">
        <v>8.5</v>
      </c>
      <c r="D54" s="137">
        <v>25</v>
      </c>
      <c r="E54" s="137"/>
      <c r="F54" s="137"/>
      <c r="G54" s="137"/>
      <c r="H54" s="137"/>
      <c r="I54" s="137"/>
      <c r="J54" s="146">
        <f t="shared" si="1"/>
        <v>5.4761886942887084E-2</v>
      </c>
      <c r="K54" s="137"/>
      <c r="L54" s="137" t="s">
        <v>78</v>
      </c>
      <c r="M54" s="177"/>
    </row>
    <row r="55" spans="1:13" ht="15.5" customHeight="1" thickBot="1" x14ac:dyDescent="0.4">
      <c r="A55" s="178">
        <v>54</v>
      </c>
      <c r="B55" s="179">
        <v>125</v>
      </c>
      <c r="C55" s="179">
        <v>6.5</v>
      </c>
      <c r="D55" s="179"/>
      <c r="E55" s="179">
        <v>4</v>
      </c>
      <c r="F55" s="179">
        <v>8</v>
      </c>
      <c r="G55" s="179"/>
      <c r="H55" s="179"/>
      <c r="I55" s="179"/>
      <c r="J55" s="204">
        <f t="shared" si="1"/>
        <v>9.6014925475338062E-3</v>
      </c>
      <c r="K55" s="179"/>
      <c r="L55" s="179" t="s">
        <v>74</v>
      </c>
      <c r="M55" s="180" t="s">
        <v>77</v>
      </c>
    </row>
    <row r="56" spans="1:13" x14ac:dyDescent="0.35">
      <c r="A56" s="229">
        <f>SUBTOTAL(103,Tabla11[número de árboles])</f>
        <v>54</v>
      </c>
      <c r="B56" s="229" t="s">
        <v>146</v>
      </c>
      <c r="C56" s="238">
        <f>SUBTOTAL(101,Tabla11[altura])</f>
        <v>6.5740740740740744</v>
      </c>
      <c r="D56" s="238">
        <f>SUBTOTAL(101,Tabla11[diámetro])</f>
        <v>13.777777777777779</v>
      </c>
      <c r="E56" s="238">
        <f>SUBTOTAL(101,Tabla11[Hermanado1])</f>
        <v>14.333333333333334</v>
      </c>
      <c r="F56" s="238">
        <f>SUBTOTAL(101,Tabla11[Hermanado2])</f>
        <v>11.666666666666666</v>
      </c>
      <c r="G56" s="239">
        <f>SUBTOTAL(101,Tabla11[Hermanado3])</f>
        <v>7</v>
      </c>
      <c r="H56" s="199"/>
      <c r="I56" s="199"/>
      <c r="J56" s="199"/>
      <c r="K56" s="62">
        <f>SUBTOTAL(109,Tabla11[apeados])</f>
        <v>12</v>
      </c>
      <c r="L56" s="62"/>
      <c r="M56" s="36">
        <f>SUBTOTAL(103,Tabla11[observaciones])</f>
        <v>12</v>
      </c>
    </row>
    <row r="57" spans="1:13" x14ac:dyDescent="0.35">
      <c r="A57" s="19" t="s">
        <v>53</v>
      </c>
    </row>
    <row r="58" spans="1:13" x14ac:dyDescent="0.35">
      <c r="A58" s="19"/>
    </row>
    <row r="59" spans="1:13" ht="15" thickBot="1" x14ac:dyDescent="0.4">
      <c r="A59" s="19" t="s">
        <v>54</v>
      </c>
    </row>
    <row r="60" spans="1:13" ht="15" thickBot="1" x14ac:dyDescent="0.4">
      <c r="A60" s="365"/>
      <c r="B60" s="366"/>
      <c r="C60" s="366"/>
      <c r="D60" s="366"/>
      <c r="E60" s="366"/>
      <c r="F60" s="366"/>
      <c r="G60" s="366"/>
      <c r="H60" s="366"/>
      <c r="I60" s="366"/>
      <c r="J60" s="366"/>
      <c r="K60" s="367"/>
    </row>
    <row r="62" spans="1:13" ht="15" thickBot="1" x14ac:dyDescent="0.4">
      <c r="A62" s="19" t="s">
        <v>64</v>
      </c>
    </row>
    <row r="63" spans="1:13" ht="15" thickBot="1" x14ac:dyDescent="0.4">
      <c r="A63" s="365" t="s">
        <v>51</v>
      </c>
      <c r="B63" s="366"/>
      <c r="C63" s="366"/>
      <c r="D63" s="366"/>
      <c r="E63" s="366"/>
      <c r="F63" s="366"/>
      <c r="G63" s="366"/>
      <c r="H63" s="366"/>
      <c r="I63" s="366"/>
      <c r="J63" s="366"/>
      <c r="K63" s="367"/>
    </row>
    <row r="64" spans="1:13" ht="15" thickBot="1" x14ac:dyDescent="0.4">
      <c r="A64" s="19" t="s">
        <v>63</v>
      </c>
    </row>
    <row r="65" spans="1:11" ht="15" thickBot="1" x14ac:dyDescent="0.4">
      <c r="A65" s="365" t="s">
        <v>129</v>
      </c>
      <c r="B65" s="366"/>
      <c r="C65" s="366"/>
      <c r="D65" s="366"/>
      <c r="E65" s="366"/>
      <c r="F65" s="366"/>
      <c r="G65" s="366"/>
      <c r="H65" s="366"/>
      <c r="I65" s="366"/>
      <c r="J65" s="366"/>
      <c r="K65" s="367"/>
    </row>
    <row r="66" spans="1:11" ht="15" thickBot="1" x14ac:dyDescent="0.4"/>
    <row r="67" spans="1:11" ht="15" thickBot="1" x14ac:dyDescent="0.4">
      <c r="A67" t="s">
        <v>128</v>
      </c>
      <c r="B67">
        <f>COUNT(Tabla11[[diámetro]:[Hermanado5]])</f>
        <v>65</v>
      </c>
      <c r="C67">
        <f>25*25</f>
        <v>625</v>
      </c>
      <c r="E67" s="55" t="s">
        <v>29</v>
      </c>
      <c r="F67" s="56"/>
      <c r="G67" s="29" t="s">
        <v>65</v>
      </c>
      <c r="H67" s="30"/>
      <c r="I67" s="28" t="s">
        <v>4</v>
      </c>
      <c r="J67" s="30"/>
    </row>
    <row r="68" spans="1:11" ht="15" thickBot="1" x14ac:dyDescent="0.4">
      <c r="B68">
        <f>B67*C68/C67</f>
        <v>1040</v>
      </c>
      <c r="C68">
        <v>10000</v>
      </c>
      <c r="E68" s="52" t="s">
        <v>30</v>
      </c>
      <c r="F68" s="53" t="s">
        <v>31</v>
      </c>
      <c r="G68" s="43">
        <v>125</v>
      </c>
      <c r="H68" s="21" t="s">
        <v>23</v>
      </c>
      <c r="I68" s="13" t="s">
        <v>6</v>
      </c>
      <c r="J68" s="14" t="s">
        <v>58</v>
      </c>
    </row>
    <row r="69" spans="1:11" ht="21.5" thickBot="1" x14ac:dyDescent="0.55000000000000004">
      <c r="A69" s="27" t="s">
        <v>105</v>
      </c>
      <c r="B69" s="49" t="s">
        <v>28</v>
      </c>
      <c r="C69" s="10" t="s">
        <v>52</v>
      </c>
      <c r="D69" s="51" t="s">
        <v>147</v>
      </c>
      <c r="E69" s="48" t="s">
        <v>32</v>
      </c>
      <c r="F69" s="46" t="s">
        <v>33</v>
      </c>
      <c r="G69" s="44">
        <v>130</v>
      </c>
      <c r="H69" s="23" t="s">
        <v>25</v>
      </c>
      <c r="I69" s="15" t="s">
        <v>5</v>
      </c>
      <c r="J69" s="16" t="s">
        <v>59</v>
      </c>
    </row>
    <row r="70" spans="1:11" ht="15" thickBot="1" x14ac:dyDescent="0.4">
      <c r="A70" s="10"/>
      <c r="B70" s="12">
        <v>2</v>
      </c>
      <c r="C70" s="12">
        <v>1</v>
      </c>
      <c r="D70" s="10">
        <f>B68</f>
        <v>1040</v>
      </c>
      <c r="E70" s="48" t="s">
        <v>34</v>
      </c>
      <c r="F70" s="46" t="s">
        <v>35</v>
      </c>
      <c r="G70" s="44">
        <v>46</v>
      </c>
      <c r="H70" s="23" t="s">
        <v>26</v>
      </c>
      <c r="I70" s="15" t="s">
        <v>13</v>
      </c>
      <c r="J70" s="16" t="s">
        <v>60</v>
      </c>
    </row>
    <row r="71" spans="1:11" x14ac:dyDescent="0.35">
      <c r="E71" s="45" t="s">
        <v>36</v>
      </c>
      <c r="F71" s="58" t="s">
        <v>37</v>
      </c>
      <c r="G71" s="44">
        <v>43</v>
      </c>
      <c r="H71" s="23" t="s">
        <v>27</v>
      </c>
      <c r="I71" s="15" t="s">
        <v>10</v>
      </c>
      <c r="J71" s="16" t="s">
        <v>61</v>
      </c>
    </row>
    <row r="72" spans="1:11" ht="15" thickBot="1" x14ac:dyDescent="0.4">
      <c r="E72" s="45" t="s">
        <v>16</v>
      </c>
      <c r="F72" s="46" t="s">
        <v>38</v>
      </c>
      <c r="G72" s="44">
        <v>23</v>
      </c>
      <c r="H72" s="23" t="s">
        <v>22</v>
      </c>
      <c r="I72" s="17" t="s">
        <v>12</v>
      </c>
      <c r="J72" s="18" t="s">
        <v>62</v>
      </c>
    </row>
    <row r="73" spans="1:11" x14ac:dyDescent="0.35">
      <c r="E73" s="45" t="s">
        <v>39</v>
      </c>
      <c r="F73" s="46" t="s">
        <v>40</v>
      </c>
      <c r="G73" s="44">
        <v>73</v>
      </c>
      <c r="H73" s="23" t="s">
        <v>24</v>
      </c>
    </row>
    <row r="74" spans="1:11" x14ac:dyDescent="0.35">
      <c r="E74" s="45" t="s">
        <v>41</v>
      </c>
      <c r="F74" s="46" t="s">
        <v>42</v>
      </c>
      <c r="G74" s="44">
        <v>87</v>
      </c>
      <c r="H74" s="23" t="s">
        <v>47</v>
      </c>
    </row>
    <row r="75" spans="1:11" x14ac:dyDescent="0.35">
      <c r="E75" s="45" t="s">
        <v>43</v>
      </c>
      <c r="F75" s="46" t="s">
        <v>44</v>
      </c>
      <c r="G75" s="44">
        <v>3</v>
      </c>
      <c r="H75" s="23" t="s">
        <v>48</v>
      </c>
    </row>
    <row r="76" spans="1:11" x14ac:dyDescent="0.35">
      <c r="E76" s="45" t="s">
        <v>45</v>
      </c>
      <c r="F76" s="47" t="s">
        <v>46</v>
      </c>
      <c r="G76" s="44">
        <v>82</v>
      </c>
      <c r="H76" s="23" t="s">
        <v>50</v>
      </c>
    </row>
    <row r="77" spans="1:11" x14ac:dyDescent="0.35">
      <c r="G77" s="22">
        <v>83</v>
      </c>
      <c r="H77" s="23" t="s">
        <v>49</v>
      </c>
    </row>
    <row r="78" spans="1:11" x14ac:dyDescent="0.35">
      <c r="G78" s="22">
        <v>42</v>
      </c>
      <c r="H78" s="23" t="s">
        <v>51</v>
      </c>
    </row>
    <row r="79" spans="1:11" x14ac:dyDescent="0.35">
      <c r="G79" s="22">
        <v>112</v>
      </c>
      <c r="H79" s="23" t="s">
        <v>66</v>
      </c>
    </row>
    <row r="80" spans="1:11" ht="15" thickBot="1" x14ac:dyDescent="0.4">
      <c r="G80" s="25">
        <v>113</v>
      </c>
      <c r="H80" s="26" t="s">
        <v>67</v>
      </c>
    </row>
    <row r="100" spans="1:10" ht="43.5" x14ac:dyDescent="0.35">
      <c r="A100" s="251" t="s">
        <v>228</v>
      </c>
      <c r="B100" s="252" t="s">
        <v>206</v>
      </c>
      <c r="C100" s="252" t="s">
        <v>229</v>
      </c>
      <c r="D100" s="252" t="s">
        <v>142</v>
      </c>
      <c r="E100" s="252" t="s">
        <v>147</v>
      </c>
      <c r="F100" s="252" t="s">
        <v>225</v>
      </c>
      <c r="G100" s="252" t="s">
        <v>207</v>
      </c>
      <c r="H100" s="252" t="s">
        <v>231</v>
      </c>
      <c r="I100" s="252" t="s">
        <v>213</v>
      </c>
      <c r="J100" s="253" t="s">
        <v>215</v>
      </c>
    </row>
    <row r="101" spans="1:10" x14ac:dyDescent="0.35">
      <c r="A101" s="254" t="s">
        <v>212</v>
      </c>
      <c r="B101" s="257">
        <f>COUNTIF($D$2:$I$55,"&gt;=2,5")-COUNTIF($D$2:$I$55,"&gt;7,4")</f>
        <v>10</v>
      </c>
      <c r="C101" s="257">
        <v>5</v>
      </c>
      <c r="D101" s="257"/>
      <c r="E101" s="257">
        <f>(B101*10000)/625</f>
        <v>160</v>
      </c>
      <c r="F101" s="258">
        <f>(PI()/4)*(C101/100)^2</f>
        <v>1.9634954084936209E-3</v>
      </c>
      <c r="G101" s="258">
        <f>E101*F101</f>
        <v>0.31415926535897931</v>
      </c>
      <c r="H101" s="257"/>
      <c r="I101" s="257"/>
      <c r="J101" s="257"/>
    </row>
    <row r="102" spans="1:10" x14ac:dyDescent="0.35">
      <c r="A102" s="254" t="s">
        <v>211</v>
      </c>
      <c r="B102" s="257">
        <f>COUNTIF($D$2:$I$55,"&gt;=7,5")-COUNTIF($D$2:$I$55,"&gt;12,4")</f>
        <v>19</v>
      </c>
      <c r="C102" s="257">
        <v>10</v>
      </c>
      <c r="D102" s="257"/>
      <c r="E102" s="257">
        <f t="shared" ref="E102:E108" si="2">(B102*10000)/625</f>
        <v>304</v>
      </c>
      <c r="F102" s="258">
        <f t="shared" ref="F102:F108" si="3">(PI()/4)*(C102/100)^2</f>
        <v>7.8539816339744835E-3</v>
      </c>
      <c r="G102" s="258">
        <f t="shared" ref="G102:G108" si="4">E102*F102</f>
        <v>2.387610416728243</v>
      </c>
      <c r="H102" s="257"/>
      <c r="I102" s="257"/>
      <c r="J102" s="257"/>
    </row>
    <row r="103" spans="1:10" x14ac:dyDescent="0.35">
      <c r="A103" s="254" t="s">
        <v>209</v>
      </c>
      <c r="B103" s="257">
        <f>COUNTIF($D$2:$I$55,"&gt;=12,5")-COUNTIF($D$2:$I$55,"&gt;17,4")</f>
        <v>22</v>
      </c>
      <c r="C103" s="257">
        <v>15</v>
      </c>
      <c r="D103" s="257"/>
      <c r="E103" s="257">
        <f t="shared" si="2"/>
        <v>352</v>
      </c>
      <c r="F103" s="258">
        <f t="shared" si="3"/>
        <v>1.7671458676442587E-2</v>
      </c>
      <c r="G103" s="258">
        <f t="shared" si="4"/>
        <v>6.2203534541077907</v>
      </c>
      <c r="H103" s="257"/>
      <c r="I103" s="257"/>
      <c r="J103" s="257"/>
    </row>
    <row r="104" spans="1:10" x14ac:dyDescent="0.35">
      <c r="A104" s="254" t="s">
        <v>208</v>
      </c>
      <c r="B104" s="257">
        <f>COUNTIF($D$2:$I$55,"&gt;=17,5")-COUNTIF($D$2:$I$55,"&gt;22,4")</f>
        <v>12</v>
      </c>
      <c r="C104" s="257">
        <v>20</v>
      </c>
      <c r="D104" s="257"/>
      <c r="E104" s="257">
        <f t="shared" si="2"/>
        <v>192</v>
      </c>
      <c r="F104" s="258">
        <f t="shared" si="3"/>
        <v>3.1415926535897934E-2</v>
      </c>
      <c r="G104" s="258">
        <f t="shared" si="4"/>
        <v>6.0318578948924033</v>
      </c>
      <c r="H104" s="257"/>
      <c r="I104" s="257"/>
      <c r="J104" s="257"/>
    </row>
    <row r="105" spans="1:10" x14ac:dyDescent="0.35">
      <c r="A105" s="254" t="s">
        <v>210</v>
      </c>
      <c r="B105" s="257">
        <f>COUNTIF($D$2:$I$55,"&gt;=22,5")-COUNTIF($D$2:$I$55,"&gt;27,4")</f>
        <v>2</v>
      </c>
      <c r="C105" s="257">
        <v>25</v>
      </c>
      <c r="D105" s="257"/>
      <c r="E105" s="257">
        <f t="shared" si="2"/>
        <v>32</v>
      </c>
      <c r="F105" s="258">
        <f t="shared" si="3"/>
        <v>4.9087385212340517E-2</v>
      </c>
      <c r="G105" s="258">
        <f t="shared" si="4"/>
        <v>1.5707963267948966</v>
      </c>
      <c r="H105" s="257"/>
      <c r="I105" s="257"/>
      <c r="J105" s="257"/>
    </row>
    <row r="106" spans="1:10" x14ac:dyDescent="0.35">
      <c r="A106" s="254" t="s">
        <v>221</v>
      </c>
      <c r="B106" s="257">
        <f>COUNTIF($D$2:$I$55,"&gt;=27,5")-COUNTIF($D$2:$I$55,"&gt;32,4")</f>
        <v>0</v>
      </c>
      <c r="C106" s="257">
        <v>30</v>
      </c>
      <c r="D106" s="257"/>
      <c r="E106" s="257">
        <f t="shared" si="2"/>
        <v>0</v>
      </c>
      <c r="F106" s="258">
        <f t="shared" si="3"/>
        <v>7.0685834705770348E-2</v>
      </c>
      <c r="G106" s="258">
        <f t="shared" si="4"/>
        <v>0</v>
      </c>
      <c r="H106" s="257"/>
      <c r="I106" s="257"/>
      <c r="J106" s="257"/>
    </row>
    <row r="107" spans="1:10" x14ac:dyDescent="0.35">
      <c r="A107" s="254" t="s">
        <v>222</v>
      </c>
      <c r="B107" s="257">
        <f>COUNTIF($D$2:$I$55,"&gt;=32,5")-COUNTIF($D$2:$I$55,"&gt;37,4")</f>
        <v>0</v>
      </c>
      <c r="C107" s="257">
        <v>35</v>
      </c>
      <c r="D107" s="257"/>
      <c r="E107" s="257">
        <f t="shared" si="2"/>
        <v>0</v>
      </c>
      <c r="F107" s="258">
        <f t="shared" si="3"/>
        <v>9.6211275016187398E-2</v>
      </c>
      <c r="G107" s="258">
        <f t="shared" si="4"/>
        <v>0</v>
      </c>
      <c r="H107" s="257"/>
      <c r="I107" s="257"/>
      <c r="J107" s="257"/>
    </row>
    <row r="108" spans="1:10" ht="15" thickBot="1" x14ac:dyDescent="0.4">
      <c r="A108" s="254" t="s">
        <v>223</v>
      </c>
      <c r="B108" s="257">
        <f>COUNTIF($D$2:$I$55,"&gt;=37,5")-COUNTIF($D$2:$I$55,"&gt;42,4")</f>
        <v>0</v>
      </c>
      <c r="C108" s="257">
        <v>40</v>
      </c>
      <c r="D108" s="257"/>
      <c r="E108" s="257">
        <f t="shared" si="2"/>
        <v>0</v>
      </c>
      <c r="F108" s="258">
        <f t="shared" si="3"/>
        <v>0.12566370614359174</v>
      </c>
      <c r="G108" s="258">
        <f t="shared" si="4"/>
        <v>0</v>
      </c>
      <c r="H108" s="257"/>
      <c r="I108" s="257"/>
      <c r="J108" s="257"/>
    </row>
    <row r="109" spans="1:10" ht="15" thickTop="1" x14ac:dyDescent="0.35">
      <c r="A109" s="259" t="s">
        <v>146</v>
      </c>
      <c r="B109" s="260">
        <f>SUBTOTAL(109,Tabla5[NÚMERO DE PIES])</f>
        <v>66</v>
      </c>
      <c r="C109" s="260"/>
      <c r="D109" s="260"/>
      <c r="E109" s="260">
        <f>SUM(E101:E108)</f>
        <v>1040</v>
      </c>
      <c r="F109" s="263"/>
      <c r="G109" s="261">
        <f>SUBTOTAL(109,Tabla5[G (m2/ha.)])</f>
        <v>18.064157758141313</v>
      </c>
      <c r="H109" s="260"/>
      <c r="I109" s="260"/>
      <c r="J109" s="260">
        <f>SUBTOTAL(103,Tabla5[AB (m2) final])</f>
        <v>0</v>
      </c>
    </row>
  </sheetData>
  <mergeCells count="3">
    <mergeCell ref="A65:K65"/>
    <mergeCell ref="A60:K60"/>
    <mergeCell ref="A63:K63"/>
  </mergeCells>
  <pageMargins left="0.7" right="0.7" top="0.75" bottom="0.75" header="0.3" footer="0.3"/>
  <pageSetup paperSize="8" scale="66" orientation="portrait" r:id="rId1"/>
  <headerFooter>
    <oddHeader>&amp;C
Parcela &amp;"-,Negrita"&amp;K09+000B4</oddHead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67" zoomScale="110" zoomScaleNormal="100" zoomScalePageLayoutView="110" workbookViewId="0">
      <selection activeCell="B80" sqref="B80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7.54296875" customWidth="1"/>
    <col min="9" max="9" width="15.26953125" customWidth="1"/>
    <col min="10" max="10" width="13.1796875" customWidth="1"/>
    <col min="11" max="11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198" t="s">
        <v>195</v>
      </c>
      <c r="J1" s="198" t="s">
        <v>239</v>
      </c>
      <c r="K1" s="34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7</v>
      </c>
      <c r="D2" s="174">
        <v>7.5</v>
      </c>
      <c r="E2" s="174"/>
      <c r="F2" s="190"/>
      <c r="G2" s="190"/>
      <c r="H2" s="190"/>
      <c r="I2" s="190"/>
      <c r="J2" s="237">
        <f t="shared" ref="J2:J33" si="0">PI()*(((C2)/2)/100)^2+PI()*(((D2)/2)/100)^2+PI()*(((E2)/2)/100)^2+PI()*(((F2)/2)/100)^2+PI()*(((G2)/2)/100)^2+PI()*(((H2)/2)/100)^2</f>
        <v>8.2663156697581446E-3</v>
      </c>
      <c r="K2" s="190"/>
      <c r="L2" s="174" t="s">
        <v>74</v>
      </c>
      <c r="M2" s="175"/>
    </row>
    <row r="3" spans="1:13" x14ac:dyDescent="0.35">
      <c r="A3" s="196">
        <v>2</v>
      </c>
      <c r="B3" s="156">
        <v>125</v>
      </c>
      <c r="C3" s="156">
        <v>10</v>
      </c>
      <c r="D3" s="156"/>
      <c r="E3" s="156">
        <v>18</v>
      </c>
      <c r="F3" s="149">
        <v>22</v>
      </c>
      <c r="G3" s="149"/>
      <c r="H3" s="149"/>
      <c r="I3" s="149"/>
      <c r="J3" s="324">
        <f t="shared" si="0"/>
        <v>7.1314153236488306E-2</v>
      </c>
      <c r="K3" s="203">
        <v>2</v>
      </c>
      <c r="L3" s="156" t="s">
        <v>76</v>
      </c>
      <c r="M3" s="197"/>
    </row>
    <row r="4" spans="1:13" x14ac:dyDescent="0.35">
      <c r="A4" s="176">
        <v>3</v>
      </c>
      <c r="B4" s="137">
        <v>125</v>
      </c>
      <c r="C4" s="137">
        <v>9.5</v>
      </c>
      <c r="D4" s="137"/>
      <c r="E4" s="137">
        <v>24</v>
      </c>
      <c r="F4" s="138">
        <v>5</v>
      </c>
      <c r="G4" s="138"/>
      <c r="H4" s="138"/>
      <c r="I4" s="138"/>
      <c r="J4" s="325">
        <f t="shared" si="0"/>
        <v>5.4290648044848615E-2</v>
      </c>
      <c r="K4" s="138"/>
      <c r="L4" s="137" t="s">
        <v>76</v>
      </c>
      <c r="M4" s="177"/>
    </row>
    <row r="5" spans="1:13" x14ac:dyDescent="0.35">
      <c r="A5" s="176">
        <v>4</v>
      </c>
      <c r="B5" s="137">
        <v>125</v>
      </c>
      <c r="C5" s="137">
        <v>10</v>
      </c>
      <c r="D5" s="137">
        <v>22</v>
      </c>
      <c r="E5" s="137"/>
      <c r="F5" s="138"/>
      <c r="G5" s="138"/>
      <c r="H5" s="138"/>
      <c r="I5" s="138"/>
      <c r="J5" s="325">
        <f t="shared" si="0"/>
        <v>4.5867252742410977E-2</v>
      </c>
      <c r="K5" s="138"/>
      <c r="L5" s="137" t="s">
        <v>73</v>
      </c>
      <c r="M5" s="177"/>
    </row>
    <row r="6" spans="1:13" x14ac:dyDescent="0.35">
      <c r="A6" s="192">
        <v>5</v>
      </c>
      <c r="B6" s="157">
        <v>125</v>
      </c>
      <c r="C6" s="157">
        <v>7</v>
      </c>
      <c r="D6" s="157">
        <v>25</v>
      </c>
      <c r="E6" s="157"/>
      <c r="F6" s="150"/>
      <c r="G6" s="150"/>
      <c r="H6" s="150"/>
      <c r="I6" s="150"/>
      <c r="J6" s="326">
        <f t="shared" si="0"/>
        <v>5.2935836212988016E-2</v>
      </c>
      <c r="K6" s="210">
        <v>1</v>
      </c>
      <c r="L6" s="157" t="s">
        <v>73</v>
      </c>
      <c r="M6" s="193"/>
    </row>
    <row r="7" spans="1:13" x14ac:dyDescent="0.35">
      <c r="A7" s="176">
        <v>6</v>
      </c>
      <c r="B7" s="137">
        <v>125</v>
      </c>
      <c r="C7" s="137">
        <v>5</v>
      </c>
      <c r="D7" s="137"/>
      <c r="E7" s="137">
        <v>5</v>
      </c>
      <c r="F7" s="138">
        <v>10</v>
      </c>
      <c r="G7" s="138"/>
      <c r="H7" s="138"/>
      <c r="I7" s="138"/>
      <c r="J7" s="241">
        <f t="shared" si="0"/>
        <v>1.1780972450961725E-2</v>
      </c>
      <c r="K7" s="138"/>
      <c r="L7" s="137" t="s">
        <v>74</v>
      </c>
      <c r="M7" s="177"/>
    </row>
    <row r="8" spans="1:13" x14ac:dyDescent="0.35">
      <c r="A8" s="192">
        <v>7</v>
      </c>
      <c r="B8" s="157">
        <v>125</v>
      </c>
      <c r="C8" s="157">
        <v>11</v>
      </c>
      <c r="D8" s="157">
        <v>28</v>
      </c>
      <c r="E8" s="157"/>
      <c r="F8" s="150"/>
      <c r="G8" s="150"/>
      <c r="H8" s="150"/>
      <c r="I8" s="150"/>
      <c r="J8" s="326">
        <f t="shared" si="0"/>
        <v>7.1078533787469075E-2</v>
      </c>
      <c r="K8" s="210">
        <v>1</v>
      </c>
      <c r="L8" s="157" t="s">
        <v>76</v>
      </c>
      <c r="M8" s="193"/>
    </row>
    <row r="9" spans="1:13" x14ac:dyDescent="0.35">
      <c r="A9" s="192">
        <v>8</v>
      </c>
      <c r="B9" s="157">
        <v>125</v>
      </c>
      <c r="C9" s="157">
        <v>9</v>
      </c>
      <c r="D9" s="157">
        <v>18</v>
      </c>
      <c r="E9" s="157"/>
      <c r="F9" s="150"/>
      <c r="G9" s="150"/>
      <c r="H9" s="150"/>
      <c r="I9" s="150"/>
      <c r="J9" s="326">
        <f t="shared" si="0"/>
        <v>3.1808625617596654E-2</v>
      </c>
      <c r="K9" s="210">
        <v>1</v>
      </c>
      <c r="L9" s="157" t="s">
        <v>83</v>
      </c>
      <c r="M9" s="193"/>
    </row>
    <row r="10" spans="1:13" x14ac:dyDescent="0.35">
      <c r="A10" s="176">
        <v>9</v>
      </c>
      <c r="B10" s="137">
        <v>125</v>
      </c>
      <c r="C10" s="137">
        <v>9</v>
      </c>
      <c r="D10" s="137"/>
      <c r="E10" s="137">
        <v>10</v>
      </c>
      <c r="F10" s="138">
        <v>35</v>
      </c>
      <c r="G10" s="138"/>
      <c r="H10" s="138"/>
      <c r="I10" s="138"/>
      <c r="J10" s="325">
        <f t="shared" si="0"/>
        <v>0.11042698177368121</v>
      </c>
      <c r="K10" s="138"/>
      <c r="L10" s="137" t="s">
        <v>83</v>
      </c>
      <c r="M10" s="177"/>
    </row>
    <row r="11" spans="1:13" x14ac:dyDescent="0.35">
      <c r="A11" s="176">
        <v>10</v>
      </c>
      <c r="B11" s="137">
        <v>125</v>
      </c>
      <c r="C11" s="137">
        <v>6</v>
      </c>
      <c r="D11" s="137">
        <v>7.5</v>
      </c>
      <c r="E11" s="137"/>
      <c r="F11" s="138"/>
      <c r="G11" s="138"/>
      <c r="H11" s="138"/>
      <c r="I11" s="138"/>
      <c r="J11" s="325">
        <f t="shared" si="0"/>
        <v>7.2452980573414604E-3</v>
      </c>
      <c r="K11" s="138"/>
      <c r="L11" s="137" t="s">
        <v>73</v>
      </c>
      <c r="M11" s="177"/>
    </row>
    <row r="12" spans="1:13" x14ac:dyDescent="0.35">
      <c r="A12" s="176">
        <v>11</v>
      </c>
      <c r="B12" s="137">
        <v>125</v>
      </c>
      <c r="C12" s="137">
        <v>8</v>
      </c>
      <c r="D12" s="137"/>
      <c r="E12" s="137">
        <v>9</v>
      </c>
      <c r="F12" s="138">
        <v>21</v>
      </c>
      <c r="G12" s="138"/>
      <c r="H12" s="138"/>
      <c r="I12" s="138"/>
      <c r="J12" s="325">
        <f t="shared" si="0"/>
        <v>4.6024332375090467E-2</v>
      </c>
      <c r="K12" s="138"/>
      <c r="L12" s="137" t="s">
        <v>73</v>
      </c>
      <c r="M12" s="177"/>
    </row>
    <row r="13" spans="1:13" x14ac:dyDescent="0.35">
      <c r="A13" s="176">
        <v>12</v>
      </c>
      <c r="B13" s="137">
        <v>125</v>
      </c>
      <c r="C13" s="137">
        <v>7.5</v>
      </c>
      <c r="D13" s="137">
        <v>10</v>
      </c>
      <c r="E13" s="137"/>
      <c r="F13" s="138"/>
      <c r="G13" s="138"/>
      <c r="H13" s="138"/>
      <c r="I13" s="138"/>
      <c r="J13" s="325">
        <f t="shared" si="0"/>
        <v>1.2271846303085129E-2</v>
      </c>
      <c r="K13" s="138"/>
      <c r="L13" s="137" t="s">
        <v>74</v>
      </c>
      <c r="M13" s="177"/>
    </row>
    <row r="14" spans="1:13" x14ac:dyDescent="0.35">
      <c r="A14" s="176">
        <v>13</v>
      </c>
      <c r="B14" s="137">
        <v>125</v>
      </c>
      <c r="C14" s="137">
        <v>9</v>
      </c>
      <c r="D14" s="137">
        <v>10</v>
      </c>
      <c r="E14" s="137"/>
      <c r="F14" s="138"/>
      <c r="G14" s="138"/>
      <c r="H14" s="138"/>
      <c r="I14" s="138"/>
      <c r="J14" s="325">
        <f t="shared" si="0"/>
        <v>1.4215706757493814E-2</v>
      </c>
      <c r="K14" s="138"/>
      <c r="L14" s="137" t="s">
        <v>83</v>
      </c>
      <c r="M14" s="177"/>
    </row>
    <row r="15" spans="1:13" x14ac:dyDescent="0.35">
      <c r="A15" s="176">
        <v>14</v>
      </c>
      <c r="B15" s="137">
        <v>125</v>
      </c>
      <c r="C15" s="137">
        <v>7</v>
      </c>
      <c r="D15" s="137">
        <v>12</v>
      </c>
      <c r="E15" s="137"/>
      <c r="F15" s="138"/>
      <c r="G15" s="138"/>
      <c r="H15" s="138"/>
      <c r="I15" s="138"/>
      <c r="J15" s="325">
        <f t="shared" si="0"/>
        <v>1.5158184553570752E-2</v>
      </c>
      <c r="K15" s="138"/>
      <c r="L15" s="137" t="s">
        <v>83</v>
      </c>
      <c r="M15" s="177"/>
    </row>
    <row r="16" spans="1:13" x14ac:dyDescent="0.35">
      <c r="A16" s="176">
        <v>15</v>
      </c>
      <c r="B16" s="137">
        <v>125</v>
      </c>
      <c r="C16" s="137">
        <v>8.5</v>
      </c>
      <c r="D16" s="137">
        <v>19</v>
      </c>
      <c r="E16" s="137"/>
      <c r="F16" s="138"/>
      <c r="G16" s="138"/>
      <c r="H16" s="138"/>
      <c r="I16" s="138"/>
      <c r="J16" s="325">
        <f t="shared" si="0"/>
        <v>3.4027375429194449E-2</v>
      </c>
      <c r="K16" s="138"/>
      <c r="L16" s="137" t="s">
        <v>76</v>
      </c>
      <c r="M16" s="177"/>
    </row>
    <row r="17" spans="1:13" x14ac:dyDescent="0.35">
      <c r="A17" s="196">
        <v>16</v>
      </c>
      <c r="B17" s="156">
        <v>125</v>
      </c>
      <c r="C17" s="156">
        <v>9</v>
      </c>
      <c r="D17" s="156"/>
      <c r="E17" s="156">
        <v>9</v>
      </c>
      <c r="F17" s="149">
        <v>22</v>
      </c>
      <c r="G17" s="149"/>
      <c r="H17" s="149"/>
      <c r="I17" s="149"/>
      <c r="J17" s="324">
        <f t="shared" si="0"/>
        <v>5.0736721355475162E-2</v>
      </c>
      <c r="K17" s="203">
        <v>2</v>
      </c>
      <c r="L17" s="156" t="s">
        <v>73</v>
      </c>
      <c r="M17" s="197"/>
    </row>
    <row r="18" spans="1:13" x14ac:dyDescent="0.35">
      <c r="A18" s="176">
        <v>17</v>
      </c>
      <c r="B18" s="137">
        <v>125</v>
      </c>
      <c r="C18" s="137">
        <v>9.5</v>
      </c>
      <c r="D18" s="137"/>
      <c r="E18" s="137">
        <v>19</v>
      </c>
      <c r="F18" s="138">
        <v>14</v>
      </c>
      <c r="G18" s="138"/>
      <c r="H18" s="138"/>
      <c r="I18" s="138"/>
      <c r="J18" s="325">
        <f t="shared" si="0"/>
        <v>5.0834896125899844E-2</v>
      </c>
      <c r="K18" s="138"/>
      <c r="L18" s="137" t="s">
        <v>76</v>
      </c>
      <c r="M18" s="177" t="s">
        <v>92</v>
      </c>
    </row>
    <row r="19" spans="1:13" x14ac:dyDescent="0.35">
      <c r="A19" s="176">
        <v>18</v>
      </c>
      <c r="B19" s="137">
        <v>125</v>
      </c>
      <c r="C19" s="137">
        <v>8</v>
      </c>
      <c r="D19" s="137">
        <v>24</v>
      </c>
      <c r="E19" s="137"/>
      <c r="F19" s="138"/>
      <c r="G19" s="138"/>
      <c r="H19" s="138"/>
      <c r="I19" s="138"/>
      <c r="J19" s="325">
        <f t="shared" si="0"/>
        <v>5.0265482457436686E-2</v>
      </c>
      <c r="K19" s="138"/>
      <c r="L19" s="137" t="s">
        <v>73</v>
      </c>
      <c r="M19" s="177"/>
    </row>
    <row r="20" spans="1:13" x14ac:dyDescent="0.35">
      <c r="A20" s="176">
        <v>19</v>
      </c>
      <c r="B20" s="137">
        <v>112</v>
      </c>
      <c r="C20" s="137">
        <v>7</v>
      </c>
      <c r="D20" s="137">
        <v>2.5</v>
      </c>
      <c r="E20" s="137"/>
      <c r="F20" s="138"/>
      <c r="G20" s="138"/>
      <c r="H20" s="138"/>
      <c r="I20" s="138"/>
      <c r="J20" s="325">
        <f t="shared" si="0"/>
        <v>4.3393248527709019E-3</v>
      </c>
      <c r="K20" s="138"/>
      <c r="L20" s="137" t="s">
        <v>94</v>
      </c>
      <c r="M20" s="177"/>
    </row>
    <row r="21" spans="1:13" x14ac:dyDescent="0.35">
      <c r="A21" s="176">
        <v>20</v>
      </c>
      <c r="B21" s="137">
        <v>125</v>
      </c>
      <c r="C21" s="137">
        <v>9</v>
      </c>
      <c r="D21" s="137">
        <v>20</v>
      </c>
      <c r="E21" s="137"/>
      <c r="F21" s="138"/>
      <c r="G21" s="138"/>
      <c r="H21" s="138"/>
      <c r="I21" s="138"/>
      <c r="J21" s="325">
        <f t="shared" si="0"/>
        <v>3.7777651659417266E-2</v>
      </c>
      <c r="K21" s="138"/>
      <c r="L21" s="137" t="s">
        <v>73</v>
      </c>
      <c r="M21" s="177"/>
    </row>
    <row r="22" spans="1:13" x14ac:dyDescent="0.35">
      <c r="A22" s="176">
        <v>21</v>
      </c>
      <c r="B22" s="137">
        <v>125</v>
      </c>
      <c r="C22" s="137">
        <v>10</v>
      </c>
      <c r="D22" s="137"/>
      <c r="E22" s="137">
        <v>25</v>
      </c>
      <c r="F22" s="138">
        <v>11</v>
      </c>
      <c r="G22" s="138"/>
      <c r="H22" s="138"/>
      <c r="I22" s="138"/>
      <c r="J22" s="325">
        <f t="shared" si="0"/>
        <v>6.6444684623424122E-2</v>
      </c>
      <c r="K22" s="138"/>
      <c r="L22" s="137" t="s">
        <v>78</v>
      </c>
      <c r="M22" s="177"/>
    </row>
    <row r="23" spans="1:13" x14ac:dyDescent="0.35">
      <c r="A23" s="176">
        <v>22</v>
      </c>
      <c r="B23" s="137">
        <v>112</v>
      </c>
      <c r="C23" s="137">
        <v>2.5</v>
      </c>
      <c r="D23" s="137">
        <v>7</v>
      </c>
      <c r="E23" s="137"/>
      <c r="F23" s="138"/>
      <c r="G23" s="138"/>
      <c r="H23" s="138"/>
      <c r="I23" s="138"/>
      <c r="J23" s="325">
        <f t="shared" si="0"/>
        <v>4.3393248527709019E-3</v>
      </c>
      <c r="K23" s="138"/>
      <c r="L23" s="137" t="s">
        <v>95</v>
      </c>
      <c r="M23" s="177"/>
    </row>
    <row r="24" spans="1:13" x14ac:dyDescent="0.35">
      <c r="A24" s="176">
        <v>23</v>
      </c>
      <c r="B24" s="137">
        <v>46</v>
      </c>
      <c r="C24" s="137">
        <v>3</v>
      </c>
      <c r="D24" s="137">
        <v>8</v>
      </c>
      <c r="E24" s="137"/>
      <c r="F24" s="138"/>
      <c r="G24" s="138"/>
      <c r="H24" s="138"/>
      <c r="I24" s="138"/>
      <c r="J24" s="325">
        <f t="shared" si="0"/>
        <v>5.7334065928013721E-3</v>
      </c>
      <c r="K24" s="138"/>
      <c r="L24" s="137" t="s">
        <v>95</v>
      </c>
      <c r="M24" s="177" t="s">
        <v>84</v>
      </c>
    </row>
    <row r="25" spans="1:13" x14ac:dyDescent="0.35">
      <c r="A25" s="192">
        <v>24</v>
      </c>
      <c r="B25" s="157">
        <v>125</v>
      </c>
      <c r="C25" s="157">
        <v>11</v>
      </c>
      <c r="D25" s="157">
        <v>27</v>
      </c>
      <c r="E25" s="157"/>
      <c r="F25" s="150"/>
      <c r="G25" s="150"/>
      <c r="H25" s="150"/>
      <c r="I25" s="150"/>
      <c r="J25" s="326">
        <f t="shared" si="0"/>
        <v>6.6758843888783115E-2</v>
      </c>
      <c r="K25" s="210">
        <v>1</v>
      </c>
      <c r="L25" s="157" t="s">
        <v>78</v>
      </c>
      <c r="M25" s="193"/>
    </row>
    <row r="26" spans="1:13" x14ac:dyDescent="0.35">
      <c r="A26" s="176">
        <v>25</v>
      </c>
      <c r="B26" s="137">
        <v>112</v>
      </c>
      <c r="C26" s="137">
        <v>3</v>
      </c>
      <c r="D26" s="137">
        <v>9</v>
      </c>
      <c r="E26" s="137"/>
      <c r="F26" s="138"/>
      <c r="G26" s="138"/>
      <c r="H26" s="138"/>
      <c r="I26" s="138"/>
      <c r="J26" s="325">
        <f t="shared" si="0"/>
        <v>7.0685834705770337E-3</v>
      </c>
      <c r="K26" s="138"/>
      <c r="L26" s="137" t="s">
        <v>82</v>
      </c>
      <c r="M26" s="177" t="s">
        <v>93</v>
      </c>
    </row>
    <row r="27" spans="1:13" x14ac:dyDescent="0.35">
      <c r="A27" s="176">
        <v>26</v>
      </c>
      <c r="B27" s="137">
        <v>125</v>
      </c>
      <c r="C27" s="137">
        <v>9</v>
      </c>
      <c r="D27" s="137">
        <v>20</v>
      </c>
      <c r="E27" s="137"/>
      <c r="F27" s="138"/>
      <c r="G27" s="138"/>
      <c r="H27" s="138"/>
      <c r="I27" s="138"/>
      <c r="J27" s="325">
        <f t="shared" si="0"/>
        <v>3.7777651659417266E-2</v>
      </c>
      <c r="K27" s="138"/>
      <c r="L27" s="137" t="s">
        <v>73</v>
      </c>
      <c r="M27" s="177"/>
    </row>
    <row r="28" spans="1:13" x14ac:dyDescent="0.35">
      <c r="A28" s="176">
        <v>27</v>
      </c>
      <c r="B28" s="137">
        <v>46</v>
      </c>
      <c r="C28" s="137">
        <v>2.5</v>
      </c>
      <c r="D28" s="137">
        <v>8</v>
      </c>
      <c r="E28" s="137"/>
      <c r="F28" s="138"/>
      <c r="G28" s="138"/>
      <c r="H28" s="138"/>
      <c r="I28" s="138"/>
      <c r="J28" s="325">
        <f t="shared" si="0"/>
        <v>5.5174220978670739E-3</v>
      </c>
      <c r="K28" s="138"/>
      <c r="L28" s="137" t="s">
        <v>74</v>
      </c>
      <c r="M28" s="177" t="s">
        <v>84</v>
      </c>
    </row>
    <row r="29" spans="1:13" x14ac:dyDescent="0.35">
      <c r="A29" s="176">
        <v>28</v>
      </c>
      <c r="B29" s="137">
        <v>125</v>
      </c>
      <c r="C29" s="137">
        <v>9</v>
      </c>
      <c r="D29" s="137"/>
      <c r="E29" s="137">
        <v>16</v>
      </c>
      <c r="F29" s="138">
        <v>19</v>
      </c>
      <c r="G29" s="138"/>
      <c r="H29" s="138"/>
      <c r="I29" s="138"/>
      <c r="J29" s="325">
        <f t="shared" si="0"/>
        <v>5.4820791805141891E-2</v>
      </c>
      <c r="K29" s="138"/>
      <c r="L29" s="137" t="s">
        <v>73</v>
      </c>
      <c r="M29" s="177"/>
    </row>
    <row r="30" spans="1:13" x14ac:dyDescent="0.35">
      <c r="A30" s="176">
        <v>29</v>
      </c>
      <c r="B30" s="137">
        <v>125</v>
      </c>
      <c r="C30" s="137">
        <v>9.5</v>
      </c>
      <c r="D30" s="137"/>
      <c r="E30" s="137">
        <v>20</v>
      </c>
      <c r="F30" s="138">
        <v>7</v>
      </c>
      <c r="G30" s="138"/>
      <c r="H30" s="138"/>
      <c r="I30" s="138"/>
      <c r="J30" s="325">
        <f t="shared" si="0"/>
        <v>4.2352595961207405E-2</v>
      </c>
      <c r="K30" s="138"/>
      <c r="L30" s="137" t="s">
        <v>76</v>
      </c>
      <c r="M30" s="177" t="s">
        <v>99</v>
      </c>
    </row>
    <row r="31" spans="1:13" x14ac:dyDescent="0.35">
      <c r="A31" s="176">
        <v>30</v>
      </c>
      <c r="B31" s="137">
        <v>125</v>
      </c>
      <c r="C31" s="137">
        <v>9</v>
      </c>
      <c r="D31" s="137">
        <v>25</v>
      </c>
      <c r="E31" s="137"/>
      <c r="F31" s="138"/>
      <c r="G31" s="138"/>
      <c r="H31" s="138"/>
      <c r="I31" s="138"/>
      <c r="J31" s="325">
        <f t="shared" si="0"/>
        <v>5.544911033585985E-2</v>
      </c>
      <c r="K31" s="138"/>
      <c r="L31" s="137" t="s">
        <v>73</v>
      </c>
      <c r="M31" s="177"/>
    </row>
    <row r="32" spans="1:13" x14ac:dyDescent="0.35">
      <c r="A32" s="176">
        <v>31</v>
      </c>
      <c r="B32" s="137">
        <v>125</v>
      </c>
      <c r="C32" s="137">
        <v>7</v>
      </c>
      <c r="D32" s="137">
        <v>18</v>
      </c>
      <c r="E32" s="137"/>
      <c r="F32" s="138"/>
      <c r="G32" s="138"/>
      <c r="H32" s="138"/>
      <c r="I32" s="138"/>
      <c r="J32" s="325">
        <f t="shared" si="0"/>
        <v>2.9295351494724821E-2</v>
      </c>
      <c r="K32" s="138"/>
      <c r="L32" s="137" t="s">
        <v>73</v>
      </c>
      <c r="M32" s="177"/>
    </row>
    <row r="33" spans="1:13" x14ac:dyDescent="0.35">
      <c r="A33" s="176">
        <v>32</v>
      </c>
      <c r="B33" s="137">
        <v>46</v>
      </c>
      <c r="C33" s="137">
        <v>2</v>
      </c>
      <c r="D33" s="137">
        <v>7</v>
      </c>
      <c r="E33" s="137"/>
      <c r="F33" s="138"/>
      <c r="G33" s="138"/>
      <c r="H33" s="138"/>
      <c r="I33" s="138"/>
      <c r="J33" s="325">
        <f t="shared" si="0"/>
        <v>4.1626102660064761E-3</v>
      </c>
      <c r="K33" s="138"/>
      <c r="L33" s="137" t="s">
        <v>74</v>
      </c>
      <c r="M33" s="177"/>
    </row>
    <row r="34" spans="1:13" x14ac:dyDescent="0.35">
      <c r="A34" s="176">
        <v>33</v>
      </c>
      <c r="B34" s="137">
        <v>46</v>
      </c>
      <c r="C34" s="137">
        <v>2</v>
      </c>
      <c r="D34" s="137">
        <v>5</v>
      </c>
      <c r="E34" s="137"/>
      <c r="F34" s="138"/>
      <c r="G34" s="138"/>
      <c r="H34" s="138"/>
      <c r="I34" s="138"/>
      <c r="J34" s="325">
        <f t="shared" ref="J34:J68" si="1">PI()*(((C34)/2)/100)^2+PI()*(((D34)/2)/100)^2+PI()*(((E34)/2)/100)^2+PI()*(((F34)/2)/100)^2+PI()*(((G34)/2)/100)^2+PI()*(((H34)/2)/100)^2</f>
        <v>2.2776546738526001E-3</v>
      </c>
      <c r="K34" s="138"/>
      <c r="L34" s="137" t="s">
        <v>74</v>
      </c>
      <c r="M34" s="177"/>
    </row>
    <row r="35" spans="1:13" x14ac:dyDescent="0.35">
      <c r="A35" s="176">
        <v>34</v>
      </c>
      <c r="B35" s="137">
        <v>112</v>
      </c>
      <c r="C35" s="137">
        <v>2</v>
      </c>
      <c r="D35" s="137">
        <v>8</v>
      </c>
      <c r="E35" s="137"/>
      <c r="F35" s="138"/>
      <c r="G35" s="138"/>
      <c r="H35" s="138"/>
      <c r="I35" s="138"/>
      <c r="J35" s="325">
        <f t="shared" si="1"/>
        <v>5.3407075111026481E-3</v>
      </c>
      <c r="K35" s="138"/>
      <c r="L35" s="137" t="s">
        <v>94</v>
      </c>
      <c r="M35" s="177"/>
    </row>
    <row r="36" spans="1:13" x14ac:dyDescent="0.35">
      <c r="A36" s="192">
        <v>35</v>
      </c>
      <c r="B36" s="157">
        <v>125</v>
      </c>
      <c r="C36" s="157">
        <v>9</v>
      </c>
      <c r="D36" s="157">
        <v>24</v>
      </c>
      <c r="E36" s="157"/>
      <c r="F36" s="150"/>
      <c r="G36" s="150"/>
      <c r="H36" s="150"/>
      <c r="I36" s="150"/>
      <c r="J36" s="326">
        <f t="shared" si="1"/>
        <v>5.1600659335212351E-2</v>
      </c>
      <c r="K36" s="210">
        <v>1</v>
      </c>
      <c r="L36" s="157" t="s">
        <v>76</v>
      </c>
      <c r="M36" s="193"/>
    </row>
    <row r="37" spans="1:13" x14ac:dyDescent="0.35">
      <c r="A37" s="176">
        <v>36</v>
      </c>
      <c r="B37" s="137">
        <v>46</v>
      </c>
      <c r="C37" s="137">
        <v>2.5</v>
      </c>
      <c r="D37" s="137">
        <v>8</v>
      </c>
      <c r="E37" s="137"/>
      <c r="F37" s="138"/>
      <c r="G37" s="138"/>
      <c r="H37" s="138"/>
      <c r="I37" s="138"/>
      <c r="J37" s="325">
        <f t="shared" si="1"/>
        <v>5.5174220978670739E-3</v>
      </c>
      <c r="K37" s="138"/>
      <c r="L37" s="137" t="s">
        <v>94</v>
      </c>
      <c r="M37" s="177"/>
    </row>
    <row r="38" spans="1:13" x14ac:dyDescent="0.35">
      <c r="A38" s="176">
        <v>37</v>
      </c>
      <c r="B38" s="137">
        <v>46</v>
      </c>
      <c r="C38" s="137">
        <v>2</v>
      </c>
      <c r="D38" s="137">
        <v>20</v>
      </c>
      <c r="E38" s="137"/>
      <c r="F38" s="138"/>
      <c r="G38" s="138"/>
      <c r="H38" s="138"/>
      <c r="I38" s="138"/>
      <c r="J38" s="325">
        <f t="shared" si="1"/>
        <v>3.1730085801256913E-2</v>
      </c>
      <c r="K38" s="138"/>
      <c r="L38" s="137" t="s">
        <v>94</v>
      </c>
      <c r="M38" s="177"/>
    </row>
    <row r="39" spans="1:13" x14ac:dyDescent="0.35">
      <c r="A39" s="176">
        <v>38</v>
      </c>
      <c r="B39" s="137">
        <v>46</v>
      </c>
      <c r="C39" s="137">
        <v>3</v>
      </c>
      <c r="D39" s="137">
        <v>9</v>
      </c>
      <c r="E39" s="137"/>
      <c r="F39" s="138"/>
      <c r="G39" s="138"/>
      <c r="H39" s="138"/>
      <c r="I39" s="138"/>
      <c r="J39" s="325">
        <f t="shared" si="1"/>
        <v>7.0685834705770337E-3</v>
      </c>
      <c r="K39" s="138"/>
      <c r="L39" s="137" t="s">
        <v>94</v>
      </c>
      <c r="M39" s="177" t="s">
        <v>77</v>
      </c>
    </row>
    <row r="40" spans="1:13" x14ac:dyDescent="0.35">
      <c r="A40" s="176">
        <v>39</v>
      </c>
      <c r="B40" s="137">
        <v>125</v>
      </c>
      <c r="C40" s="137">
        <v>10.5</v>
      </c>
      <c r="D40" s="137"/>
      <c r="E40" s="137">
        <v>15</v>
      </c>
      <c r="F40" s="138">
        <v>25</v>
      </c>
      <c r="G40" s="138"/>
      <c r="H40" s="138"/>
      <c r="I40" s="138"/>
      <c r="J40" s="325">
        <f t="shared" si="1"/>
        <v>7.5417858640239976E-2</v>
      </c>
      <c r="K40" s="138"/>
      <c r="L40" s="137" t="s">
        <v>78</v>
      </c>
      <c r="M40" s="177"/>
    </row>
    <row r="41" spans="1:13" x14ac:dyDescent="0.35">
      <c r="A41" s="176">
        <v>40</v>
      </c>
      <c r="B41" s="137">
        <v>46</v>
      </c>
      <c r="C41" s="137">
        <v>3</v>
      </c>
      <c r="D41" s="137">
        <v>8</v>
      </c>
      <c r="E41" s="137"/>
      <c r="F41" s="138"/>
      <c r="G41" s="138"/>
      <c r="H41" s="138"/>
      <c r="I41" s="138"/>
      <c r="J41" s="325">
        <f t="shared" si="1"/>
        <v>5.7334065928013721E-3</v>
      </c>
      <c r="K41" s="138"/>
      <c r="L41" s="137" t="s">
        <v>95</v>
      </c>
      <c r="M41" s="177"/>
    </row>
    <row r="42" spans="1:13" x14ac:dyDescent="0.35">
      <c r="A42" s="176">
        <v>41</v>
      </c>
      <c r="B42" s="137">
        <v>46</v>
      </c>
      <c r="C42" s="137">
        <v>5</v>
      </c>
      <c r="D42" s="137">
        <v>5</v>
      </c>
      <c r="E42" s="137"/>
      <c r="F42" s="138"/>
      <c r="G42" s="138"/>
      <c r="H42" s="138"/>
      <c r="I42" s="138"/>
      <c r="J42" s="325">
        <f t="shared" si="1"/>
        <v>3.9269908169872417E-3</v>
      </c>
      <c r="K42" s="138"/>
      <c r="L42" s="137" t="s">
        <v>94</v>
      </c>
      <c r="M42" s="177"/>
    </row>
    <row r="43" spans="1:13" x14ac:dyDescent="0.35">
      <c r="A43" s="176">
        <v>42</v>
      </c>
      <c r="B43" s="137">
        <v>46</v>
      </c>
      <c r="C43" s="137">
        <v>9</v>
      </c>
      <c r="D43" s="137">
        <v>6</v>
      </c>
      <c r="E43" s="137"/>
      <c r="F43" s="138"/>
      <c r="G43" s="138"/>
      <c r="H43" s="138"/>
      <c r="I43" s="138"/>
      <c r="J43" s="325">
        <f t="shared" si="1"/>
        <v>9.1891585117501451E-3</v>
      </c>
      <c r="K43" s="138"/>
      <c r="L43" s="137" t="s">
        <v>95</v>
      </c>
      <c r="M43" s="177"/>
    </row>
    <row r="44" spans="1:13" x14ac:dyDescent="0.35">
      <c r="A44" s="176">
        <v>43</v>
      </c>
      <c r="B44" s="137">
        <v>46</v>
      </c>
      <c r="C44" s="137">
        <v>3</v>
      </c>
      <c r="D44" s="137">
        <v>8</v>
      </c>
      <c r="E44" s="137"/>
      <c r="F44" s="138"/>
      <c r="G44" s="138"/>
      <c r="H44" s="138"/>
      <c r="I44" s="138"/>
      <c r="J44" s="325">
        <f t="shared" si="1"/>
        <v>5.7334065928013721E-3</v>
      </c>
      <c r="K44" s="138"/>
      <c r="L44" s="137" t="s">
        <v>95</v>
      </c>
      <c r="M44" s="177"/>
    </row>
    <row r="45" spans="1:13" x14ac:dyDescent="0.35">
      <c r="A45" s="176">
        <v>44</v>
      </c>
      <c r="B45" s="137">
        <v>46</v>
      </c>
      <c r="C45" s="137">
        <v>3</v>
      </c>
      <c r="D45" s="137">
        <v>6</v>
      </c>
      <c r="E45" s="137"/>
      <c r="F45" s="138"/>
      <c r="G45" s="138"/>
      <c r="H45" s="138"/>
      <c r="I45" s="138"/>
      <c r="J45" s="325">
        <f t="shared" si="1"/>
        <v>3.5342917352885169E-3</v>
      </c>
      <c r="K45" s="138"/>
      <c r="L45" s="137" t="s">
        <v>74</v>
      </c>
      <c r="M45" s="177"/>
    </row>
    <row r="46" spans="1:13" x14ac:dyDescent="0.35">
      <c r="A46" s="176">
        <v>45</v>
      </c>
      <c r="B46" s="137">
        <v>46</v>
      </c>
      <c r="C46" s="137">
        <v>1.5</v>
      </c>
      <c r="D46" s="137">
        <v>5</v>
      </c>
      <c r="E46" s="137"/>
      <c r="F46" s="138"/>
      <c r="G46" s="138"/>
      <c r="H46" s="138"/>
      <c r="I46" s="138"/>
      <c r="J46" s="325">
        <f t="shared" si="1"/>
        <v>2.1402099952580467E-3</v>
      </c>
      <c r="K46" s="138"/>
      <c r="L46" s="137" t="s">
        <v>94</v>
      </c>
      <c r="M46" s="177"/>
    </row>
    <row r="47" spans="1:13" x14ac:dyDescent="0.35">
      <c r="A47" s="176">
        <v>46</v>
      </c>
      <c r="B47" s="137">
        <v>46</v>
      </c>
      <c r="C47" s="137">
        <v>1.5</v>
      </c>
      <c r="D47" s="137">
        <v>5</v>
      </c>
      <c r="E47" s="137"/>
      <c r="F47" s="138"/>
      <c r="G47" s="138"/>
      <c r="H47" s="138"/>
      <c r="I47" s="138"/>
      <c r="J47" s="325">
        <f t="shared" si="1"/>
        <v>2.1402099952580467E-3</v>
      </c>
      <c r="K47" s="138"/>
      <c r="L47" s="137" t="s">
        <v>95</v>
      </c>
      <c r="M47" s="177"/>
    </row>
    <row r="48" spans="1:13" x14ac:dyDescent="0.35">
      <c r="A48" s="176">
        <v>47</v>
      </c>
      <c r="B48" s="137">
        <v>125</v>
      </c>
      <c r="C48" s="137">
        <v>4</v>
      </c>
      <c r="D48" s="137"/>
      <c r="E48" s="137">
        <v>10</v>
      </c>
      <c r="F48" s="138">
        <v>8</v>
      </c>
      <c r="G48" s="138"/>
      <c r="H48" s="138"/>
      <c r="I48" s="138"/>
      <c r="J48" s="325">
        <f t="shared" si="1"/>
        <v>1.4137166941154069E-2</v>
      </c>
      <c r="K48" s="138"/>
      <c r="L48" s="137" t="s">
        <v>74</v>
      </c>
      <c r="M48" s="177" t="s">
        <v>97</v>
      </c>
    </row>
    <row r="49" spans="1:13" x14ac:dyDescent="0.35">
      <c r="A49" s="176">
        <v>48</v>
      </c>
      <c r="B49" s="137">
        <v>46</v>
      </c>
      <c r="C49" s="137">
        <v>4</v>
      </c>
      <c r="D49" s="137">
        <v>9</v>
      </c>
      <c r="E49" s="137"/>
      <c r="F49" s="138"/>
      <c r="G49" s="138"/>
      <c r="H49" s="138"/>
      <c r="I49" s="138"/>
      <c r="J49" s="325">
        <f t="shared" si="1"/>
        <v>7.6183621849552473E-3</v>
      </c>
      <c r="K49" s="138"/>
      <c r="L49" s="137" t="s">
        <v>94</v>
      </c>
      <c r="M49" s="177"/>
    </row>
    <row r="50" spans="1:13" x14ac:dyDescent="0.35">
      <c r="A50" s="176">
        <v>49</v>
      </c>
      <c r="B50" s="137">
        <v>125</v>
      </c>
      <c r="C50" s="137">
        <v>7.5</v>
      </c>
      <c r="D50" s="137">
        <v>14</v>
      </c>
      <c r="E50" s="137"/>
      <c r="F50" s="138"/>
      <c r="G50" s="138"/>
      <c r="H50" s="138"/>
      <c r="I50" s="138"/>
      <c r="J50" s="325">
        <f t="shared" si="1"/>
        <v>1.9811668671700634E-2</v>
      </c>
      <c r="K50" s="138"/>
      <c r="L50" s="137" t="s">
        <v>74</v>
      </c>
      <c r="M50" s="177"/>
    </row>
    <row r="51" spans="1:13" x14ac:dyDescent="0.35">
      <c r="A51" s="176">
        <v>50</v>
      </c>
      <c r="B51" s="137">
        <v>125</v>
      </c>
      <c r="C51" s="137">
        <v>3</v>
      </c>
      <c r="D51" s="137"/>
      <c r="E51" s="138">
        <v>15</v>
      </c>
      <c r="F51" s="138">
        <v>8</v>
      </c>
      <c r="G51" s="138"/>
      <c r="H51" s="138"/>
      <c r="I51" s="138"/>
      <c r="J51" s="325">
        <f t="shared" si="1"/>
        <v>2.3404865269243957E-2</v>
      </c>
      <c r="K51" s="138"/>
      <c r="L51" s="137" t="s">
        <v>95</v>
      </c>
      <c r="M51" s="177" t="s">
        <v>97</v>
      </c>
    </row>
    <row r="52" spans="1:13" x14ac:dyDescent="0.35">
      <c r="A52" s="176">
        <v>51</v>
      </c>
      <c r="B52" s="137">
        <v>46</v>
      </c>
      <c r="C52" s="137">
        <v>3</v>
      </c>
      <c r="D52" s="137">
        <v>6</v>
      </c>
      <c r="E52" s="137"/>
      <c r="F52" s="137"/>
      <c r="G52" s="137"/>
      <c r="H52" s="137"/>
      <c r="I52" s="137"/>
      <c r="J52" s="327">
        <f t="shared" si="1"/>
        <v>3.5342917352885169E-3</v>
      </c>
      <c r="K52" s="137"/>
      <c r="L52" s="137" t="s">
        <v>95</v>
      </c>
      <c r="M52" s="177"/>
    </row>
    <row r="53" spans="1:13" x14ac:dyDescent="0.35">
      <c r="A53" s="176">
        <v>52</v>
      </c>
      <c r="B53" s="137">
        <v>125</v>
      </c>
      <c r="C53" s="137">
        <v>9</v>
      </c>
      <c r="D53" s="137"/>
      <c r="E53" s="137">
        <v>10</v>
      </c>
      <c r="F53" s="137">
        <v>25</v>
      </c>
      <c r="G53" s="137"/>
      <c r="H53" s="137"/>
      <c r="I53" s="137"/>
      <c r="J53" s="327">
        <f t="shared" si="1"/>
        <v>6.330309196983433E-2</v>
      </c>
      <c r="K53" s="137"/>
      <c r="L53" s="137" t="s">
        <v>76</v>
      </c>
      <c r="M53" s="177" t="s">
        <v>84</v>
      </c>
    </row>
    <row r="54" spans="1:13" x14ac:dyDescent="0.35">
      <c r="A54" s="176">
        <v>53</v>
      </c>
      <c r="B54" s="137">
        <v>125</v>
      </c>
      <c r="C54" s="137">
        <v>9</v>
      </c>
      <c r="D54" s="137">
        <v>18</v>
      </c>
      <c r="E54" s="137"/>
      <c r="F54" s="137"/>
      <c r="G54" s="137"/>
      <c r="H54" s="137"/>
      <c r="I54" s="137"/>
      <c r="J54" s="327">
        <f t="shared" si="1"/>
        <v>3.1808625617596654E-2</v>
      </c>
      <c r="K54" s="137"/>
      <c r="L54" s="137" t="s">
        <v>73</v>
      </c>
      <c r="M54" s="177"/>
    </row>
    <row r="55" spans="1:13" x14ac:dyDescent="0.35">
      <c r="A55" s="192">
        <v>54</v>
      </c>
      <c r="B55" s="157">
        <v>125</v>
      </c>
      <c r="C55" s="157">
        <v>8</v>
      </c>
      <c r="D55" s="157">
        <v>16</v>
      </c>
      <c r="E55" s="157"/>
      <c r="F55" s="157"/>
      <c r="G55" s="157"/>
      <c r="H55" s="157"/>
      <c r="I55" s="157"/>
      <c r="J55" s="328">
        <f t="shared" si="1"/>
        <v>2.5132741228718343E-2</v>
      </c>
      <c r="K55" s="210">
        <v>1</v>
      </c>
      <c r="L55" s="157" t="s">
        <v>73</v>
      </c>
      <c r="M55" s="193"/>
    </row>
    <row r="56" spans="1:13" x14ac:dyDescent="0.35">
      <c r="A56" s="176">
        <v>55</v>
      </c>
      <c r="B56" s="137">
        <v>112</v>
      </c>
      <c r="C56" s="137">
        <v>2</v>
      </c>
      <c r="D56" s="137">
        <v>9</v>
      </c>
      <c r="E56" s="137"/>
      <c r="F56" s="137"/>
      <c r="G56" s="137"/>
      <c r="H56" s="137"/>
      <c r="I56" s="137"/>
      <c r="J56" s="327">
        <f t="shared" si="1"/>
        <v>6.6758843888783097E-3</v>
      </c>
      <c r="K56" s="137"/>
      <c r="L56" s="137" t="s">
        <v>95</v>
      </c>
      <c r="M56" s="177"/>
    </row>
    <row r="57" spans="1:13" x14ac:dyDescent="0.35">
      <c r="A57" s="176">
        <v>56</v>
      </c>
      <c r="B57" s="137">
        <v>125</v>
      </c>
      <c r="C57" s="137">
        <v>9</v>
      </c>
      <c r="D57" s="137">
        <v>19</v>
      </c>
      <c r="E57" s="137"/>
      <c r="F57" s="137"/>
      <c r="G57" s="137"/>
      <c r="H57" s="137"/>
      <c r="I57" s="137"/>
      <c r="J57" s="327">
        <f t="shared" si="1"/>
        <v>3.4714598822167216E-2</v>
      </c>
      <c r="K57" s="137"/>
      <c r="L57" s="137" t="s">
        <v>76</v>
      </c>
      <c r="M57" s="177"/>
    </row>
    <row r="58" spans="1:13" x14ac:dyDescent="0.35">
      <c r="A58" s="192">
        <v>57</v>
      </c>
      <c r="B58" s="157">
        <v>125</v>
      </c>
      <c r="C58" s="157">
        <v>6</v>
      </c>
      <c r="D58" s="157">
        <v>14</v>
      </c>
      <c r="E58" s="157"/>
      <c r="F58" s="157"/>
      <c r="G58" s="157"/>
      <c r="H58" s="157"/>
      <c r="I58" s="157"/>
      <c r="J58" s="328">
        <f t="shared" si="1"/>
        <v>1.8221237390820801E-2</v>
      </c>
      <c r="K58" s="210">
        <v>1</v>
      </c>
      <c r="L58" s="157" t="s">
        <v>95</v>
      </c>
      <c r="M58" s="193"/>
    </row>
    <row r="59" spans="1:13" x14ac:dyDescent="0.35">
      <c r="A59" s="176">
        <v>58</v>
      </c>
      <c r="B59" s="137">
        <v>125</v>
      </c>
      <c r="C59" s="137">
        <v>9.5</v>
      </c>
      <c r="D59" s="137">
        <v>19</v>
      </c>
      <c r="E59" s="137"/>
      <c r="F59" s="137"/>
      <c r="G59" s="137"/>
      <c r="H59" s="137"/>
      <c r="I59" s="137"/>
      <c r="J59" s="327">
        <f t="shared" si="1"/>
        <v>3.5441092123309856E-2</v>
      </c>
      <c r="K59" s="137"/>
      <c r="L59" s="137" t="s">
        <v>76</v>
      </c>
      <c r="M59" s="177"/>
    </row>
    <row r="60" spans="1:13" x14ac:dyDescent="0.35">
      <c r="A60" s="176">
        <v>59</v>
      </c>
      <c r="B60" s="137">
        <v>125</v>
      </c>
      <c r="C60" s="137">
        <v>10</v>
      </c>
      <c r="D60" s="137">
        <v>8</v>
      </c>
      <c r="E60" s="137"/>
      <c r="F60" s="137"/>
      <c r="G60" s="137"/>
      <c r="H60" s="137"/>
      <c r="I60" s="137"/>
      <c r="J60" s="327">
        <f t="shared" si="1"/>
        <v>1.2880529879718152E-2</v>
      </c>
      <c r="K60" s="137"/>
      <c r="L60" s="137" t="s">
        <v>82</v>
      </c>
      <c r="M60" s="177"/>
    </row>
    <row r="61" spans="1:13" x14ac:dyDescent="0.35">
      <c r="A61" s="176">
        <v>60</v>
      </c>
      <c r="B61" s="137">
        <v>125</v>
      </c>
      <c r="C61" s="137">
        <v>8</v>
      </c>
      <c r="D61" s="137">
        <v>15</v>
      </c>
      <c r="E61" s="137"/>
      <c r="F61" s="137"/>
      <c r="G61" s="137"/>
      <c r="H61" s="137"/>
      <c r="I61" s="137"/>
      <c r="J61" s="327">
        <f t="shared" si="1"/>
        <v>2.2698006922186258E-2</v>
      </c>
      <c r="K61" s="137"/>
      <c r="L61" s="137" t="s">
        <v>73</v>
      </c>
      <c r="M61" s="177"/>
    </row>
    <row r="62" spans="1:13" x14ac:dyDescent="0.35">
      <c r="A62" s="176">
        <v>61</v>
      </c>
      <c r="B62" s="137">
        <v>125</v>
      </c>
      <c r="C62" s="137">
        <v>8</v>
      </c>
      <c r="D62" s="137">
        <v>19</v>
      </c>
      <c r="E62" s="137"/>
      <c r="F62" s="137"/>
      <c r="G62" s="137"/>
      <c r="H62" s="137"/>
      <c r="I62" s="137"/>
      <c r="J62" s="327">
        <f t="shared" si="1"/>
        <v>3.337942194439155E-2</v>
      </c>
      <c r="K62" s="137"/>
      <c r="L62" s="137" t="s">
        <v>76</v>
      </c>
      <c r="M62" s="177"/>
    </row>
    <row r="63" spans="1:13" x14ac:dyDescent="0.35">
      <c r="A63" s="176">
        <v>62</v>
      </c>
      <c r="B63" s="137">
        <v>125</v>
      </c>
      <c r="C63" s="137">
        <v>6</v>
      </c>
      <c r="D63" s="137">
        <v>9</v>
      </c>
      <c r="E63" s="137"/>
      <c r="F63" s="137"/>
      <c r="G63" s="137"/>
      <c r="H63" s="137"/>
      <c r="I63" s="137"/>
      <c r="J63" s="327">
        <f t="shared" si="1"/>
        <v>9.1891585117501451E-3</v>
      </c>
      <c r="K63" s="137"/>
      <c r="L63" s="137" t="s">
        <v>98</v>
      </c>
      <c r="M63" s="177"/>
    </row>
    <row r="64" spans="1:13" x14ac:dyDescent="0.35">
      <c r="A64" s="176">
        <v>63</v>
      </c>
      <c r="B64" s="137">
        <v>125</v>
      </c>
      <c r="C64" s="137">
        <v>10.5</v>
      </c>
      <c r="D64" s="137"/>
      <c r="E64" s="137">
        <v>6</v>
      </c>
      <c r="F64" s="137">
        <v>13</v>
      </c>
      <c r="G64" s="137">
        <v>28</v>
      </c>
      <c r="H64" s="137"/>
      <c r="I64" s="137"/>
      <c r="J64" s="327">
        <f t="shared" si="1"/>
        <v>8.6334893111464514E-2</v>
      </c>
      <c r="K64" s="137"/>
      <c r="L64" s="137" t="s">
        <v>78</v>
      </c>
      <c r="M64" s="177" t="s">
        <v>84</v>
      </c>
    </row>
    <row r="65" spans="1:13" x14ac:dyDescent="0.35">
      <c r="A65" s="176">
        <v>64</v>
      </c>
      <c r="B65" s="137">
        <v>125</v>
      </c>
      <c r="C65" s="137">
        <v>9.5</v>
      </c>
      <c r="D65" s="137"/>
      <c r="E65" s="137">
        <v>29</v>
      </c>
      <c r="F65" s="137">
        <v>11</v>
      </c>
      <c r="G65" s="137"/>
      <c r="H65" s="137"/>
      <c r="I65" s="137"/>
      <c r="J65" s="327">
        <f t="shared" si="1"/>
        <v>8.2643521743496484E-2</v>
      </c>
      <c r="K65" s="137"/>
      <c r="L65" s="137" t="s">
        <v>76</v>
      </c>
      <c r="M65" s="177"/>
    </row>
    <row r="66" spans="1:13" x14ac:dyDescent="0.35">
      <c r="A66" s="176">
        <v>65</v>
      </c>
      <c r="B66" s="137">
        <v>125</v>
      </c>
      <c r="C66" s="137">
        <v>9.5</v>
      </c>
      <c r="D66" s="137">
        <v>28</v>
      </c>
      <c r="E66" s="137"/>
      <c r="F66" s="137"/>
      <c r="G66" s="137"/>
      <c r="H66" s="137"/>
      <c r="I66" s="137"/>
      <c r="J66" s="327">
        <f t="shared" si="1"/>
        <v>6.8663434435021917E-2</v>
      </c>
      <c r="K66" s="137"/>
      <c r="L66" s="137" t="s">
        <v>76</v>
      </c>
      <c r="M66" s="177"/>
    </row>
    <row r="67" spans="1:13" x14ac:dyDescent="0.35">
      <c r="A67" s="176">
        <v>66</v>
      </c>
      <c r="B67" s="137">
        <v>125</v>
      </c>
      <c r="C67" s="137">
        <v>9</v>
      </c>
      <c r="D67" s="137"/>
      <c r="E67" s="137">
        <v>13</v>
      </c>
      <c r="F67" s="137">
        <v>20</v>
      </c>
      <c r="G67" s="137"/>
      <c r="H67" s="137"/>
      <c r="I67" s="137"/>
      <c r="J67" s="327">
        <f t="shared" si="1"/>
        <v>5.1050880620834141E-2</v>
      </c>
      <c r="K67" s="137"/>
      <c r="L67" s="137" t="s">
        <v>76</v>
      </c>
      <c r="M67" s="177" t="s">
        <v>130</v>
      </c>
    </row>
    <row r="68" spans="1:13" ht="15" thickBot="1" x14ac:dyDescent="0.4">
      <c r="A68" s="178">
        <v>67</v>
      </c>
      <c r="B68" s="179">
        <v>125</v>
      </c>
      <c r="C68" s="179">
        <v>5</v>
      </c>
      <c r="D68" s="179">
        <v>10</v>
      </c>
      <c r="E68" s="179"/>
      <c r="F68" s="179"/>
      <c r="G68" s="179"/>
      <c r="H68" s="179"/>
      <c r="I68" s="179"/>
      <c r="J68" s="209">
        <f t="shared" si="1"/>
        <v>9.8174770424681035E-3</v>
      </c>
      <c r="K68" s="179"/>
      <c r="L68" s="179" t="s">
        <v>83</v>
      </c>
      <c r="M68" s="180"/>
    </row>
    <row r="69" spans="1:13" x14ac:dyDescent="0.35">
      <c r="A69" s="229">
        <f>SUBTOTAL(103,Tabla21[número de árboles])</f>
        <v>67</v>
      </c>
      <c r="B69" s="229" t="s">
        <v>146</v>
      </c>
      <c r="C69" s="199">
        <f>SUBTOTAL(101,Tabla21[altura])</f>
        <v>6.7164179104477615</v>
      </c>
      <c r="D69" s="199">
        <f>SUBTOTAL(101,Tabla21[diámetro])</f>
        <v>13.29</v>
      </c>
      <c r="E69" s="199">
        <f>SUBTOTAL(101,Tabla21[Hermanado1])</f>
        <v>14.882352941176471</v>
      </c>
      <c r="F69" s="199">
        <f>SUBTOTAL(101,Tabla21[Hermanado2])</f>
        <v>16.235294117647058</v>
      </c>
      <c r="G69" s="264"/>
      <c r="H69" s="323"/>
      <c r="I69" s="323"/>
      <c r="J69" s="323"/>
      <c r="K69" s="62">
        <f>SUBTOTAL(109,Tabla21[apeo])</f>
        <v>11</v>
      </c>
      <c r="L69" s="62"/>
      <c r="M69" s="36">
        <f>SUBTOTAL(103,Tabla21[observaciones])</f>
        <v>11</v>
      </c>
    </row>
    <row r="70" spans="1:13" x14ac:dyDescent="0.35">
      <c r="A70" s="19" t="s">
        <v>53</v>
      </c>
    </row>
    <row r="71" spans="1:13" x14ac:dyDescent="0.35">
      <c r="A71" s="19"/>
    </row>
    <row r="72" spans="1:13" x14ac:dyDescent="0.35">
      <c r="A72" s="19" t="s">
        <v>54</v>
      </c>
    </row>
    <row r="73" spans="1:13" x14ac:dyDescent="0.35">
      <c r="A73" s="19"/>
    </row>
    <row r="75" spans="1:13" ht="15" thickBot="1" x14ac:dyDescent="0.4">
      <c r="A75" s="19" t="s">
        <v>64</v>
      </c>
    </row>
    <row r="76" spans="1:13" ht="15" thickBot="1" x14ac:dyDescent="0.4">
      <c r="A76" s="365" t="s">
        <v>51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7"/>
    </row>
    <row r="77" spans="1:13" ht="15" thickBot="1" x14ac:dyDescent="0.4">
      <c r="A77" s="19" t="s">
        <v>63</v>
      </c>
    </row>
    <row r="78" spans="1:13" ht="15" thickBot="1" x14ac:dyDescent="0.4">
      <c r="A78" s="365" t="s">
        <v>131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7"/>
    </row>
    <row r="79" spans="1:13" ht="15" thickBot="1" x14ac:dyDescent="0.4"/>
    <row r="80" spans="1:13" ht="15" thickBot="1" x14ac:dyDescent="0.4">
      <c r="A80" t="s">
        <v>128</v>
      </c>
      <c r="B80">
        <f>COUNT(Tabla21[[diámetro]:[Hermanado5]])</f>
        <v>85</v>
      </c>
      <c r="C80">
        <f>25*25</f>
        <v>625</v>
      </c>
      <c r="E80" s="55" t="s">
        <v>29</v>
      </c>
      <c r="F80" s="56"/>
      <c r="G80" s="29" t="s">
        <v>65</v>
      </c>
      <c r="H80" s="30"/>
      <c r="I80" s="28" t="s">
        <v>4</v>
      </c>
      <c r="J80" s="30"/>
    </row>
    <row r="81" spans="1:10" ht="15" thickBot="1" x14ac:dyDescent="0.4">
      <c r="B81">
        <f>B80*C81/C80</f>
        <v>1360</v>
      </c>
      <c r="C81">
        <v>10000</v>
      </c>
      <c r="E81" s="52" t="s">
        <v>30</v>
      </c>
      <c r="F81" s="53" t="s">
        <v>31</v>
      </c>
      <c r="G81" s="43">
        <v>125</v>
      </c>
      <c r="H81" s="21" t="s">
        <v>23</v>
      </c>
      <c r="I81" s="13" t="s">
        <v>6</v>
      </c>
      <c r="J81" s="14" t="s">
        <v>58</v>
      </c>
    </row>
    <row r="82" spans="1:10" ht="21.5" thickBot="1" x14ac:dyDescent="0.55000000000000004">
      <c r="A82" s="27" t="s">
        <v>121</v>
      </c>
      <c r="B82" s="49" t="s">
        <v>28</v>
      </c>
      <c r="C82" s="10" t="s">
        <v>52</v>
      </c>
      <c r="D82" s="51" t="s">
        <v>147</v>
      </c>
      <c r="E82" s="48" t="s">
        <v>32</v>
      </c>
      <c r="F82" s="46" t="s">
        <v>33</v>
      </c>
      <c r="G82" s="44">
        <v>130</v>
      </c>
      <c r="H82" s="23" t="s">
        <v>25</v>
      </c>
      <c r="I82" s="15" t="s">
        <v>5</v>
      </c>
      <c r="J82" s="16" t="s">
        <v>59</v>
      </c>
    </row>
    <row r="83" spans="1:10" ht="15" thickBot="1" x14ac:dyDescent="0.4">
      <c r="A83" s="10"/>
      <c r="B83" s="12">
        <v>2</v>
      </c>
      <c r="C83" s="12">
        <v>1</v>
      </c>
      <c r="D83" s="10">
        <f>B81</f>
        <v>1360</v>
      </c>
      <c r="E83" s="48" t="s">
        <v>34</v>
      </c>
      <c r="F83" s="46" t="s">
        <v>35</v>
      </c>
      <c r="G83" s="44">
        <v>46</v>
      </c>
      <c r="H83" s="23" t="s">
        <v>26</v>
      </c>
      <c r="I83" s="15" t="s">
        <v>13</v>
      </c>
      <c r="J83" s="16" t="s">
        <v>60</v>
      </c>
    </row>
    <row r="84" spans="1:10" x14ac:dyDescent="0.35">
      <c r="E84" s="45" t="s">
        <v>36</v>
      </c>
      <c r="F84" s="58" t="s">
        <v>37</v>
      </c>
      <c r="G84" s="44">
        <v>43</v>
      </c>
      <c r="H84" s="23" t="s">
        <v>27</v>
      </c>
      <c r="I84" s="15" t="s">
        <v>10</v>
      </c>
      <c r="J84" s="16" t="s">
        <v>61</v>
      </c>
    </row>
    <row r="85" spans="1:10" ht="15" thickBot="1" x14ac:dyDescent="0.4">
      <c r="E85" s="45" t="s">
        <v>16</v>
      </c>
      <c r="F85" s="46" t="s">
        <v>38</v>
      </c>
      <c r="G85" s="44">
        <v>23</v>
      </c>
      <c r="H85" s="23" t="s">
        <v>22</v>
      </c>
      <c r="I85" s="17" t="s">
        <v>12</v>
      </c>
      <c r="J85" s="18" t="s">
        <v>62</v>
      </c>
    </row>
    <row r="86" spans="1:10" x14ac:dyDescent="0.35">
      <c r="E86" s="45" t="s">
        <v>39</v>
      </c>
      <c r="F86" s="46" t="s">
        <v>40</v>
      </c>
      <c r="G86" s="44">
        <v>73</v>
      </c>
      <c r="H86" s="23" t="s">
        <v>24</v>
      </c>
    </row>
    <row r="87" spans="1:10" x14ac:dyDescent="0.35">
      <c r="E87" s="45" t="s">
        <v>41</v>
      </c>
      <c r="F87" s="46" t="s">
        <v>42</v>
      </c>
      <c r="G87" s="44">
        <v>87</v>
      </c>
      <c r="H87" s="23" t="s">
        <v>47</v>
      </c>
    </row>
    <row r="88" spans="1:10" x14ac:dyDescent="0.35">
      <c r="E88" s="45" t="s">
        <v>43</v>
      </c>
      <c r="F88" s="46" t="s">
        <v>44</v>
      </c>
      <c r="G88" s="44">
        <v>3</v>
      </c>
      <c r="H88" s="23" t="s">
        <v>48</v>
      </c>
    </row>
    <row r="89" spans="1:10" x14ac:dyDescent="0.35">
      <c r="E89" s="45" t="s">
        <v>45</v>
      </c>
      <c r="F89" s="47" t="s">
        <v>46</v>
      </c>
      <c r="G89" s="44">
        <v>82</v>
      </c>
      <c r="H89" s="23" t="s">
        <v>50</v>
      </c>
    </row>
    <row r="90" spans="1:10" x14ac:dyDescent="0.35">
      <c r="G90" s="22">
        <v>83</v>
      </c>
      <c r="H90" s="23" t="s">
        <v>49</v>
      </c>
    </row>
    <row r="91" spans="1:10" x14ac:dyDescent="0.35">
      <c r="G91" s="22">
        <v>42</v>
      </c>
      <c r="H91" s="23" t="s">
        <v>51</v>
      </c>
    </row>
    <row r="92" spans="1:10" x14ac:dyDescent="0.35">
      <c r="G92" s="22">
        <v>112</v>
      </c>
      <c r="H92" s="23" t="s">
        <v>66</v>
      </c>
    </row>
    <row r="93" spans="1:10" ht="15" thickBot="1" x14ac:dyDescent="0.4">
      <c r="G93" s="25">
        <v>113</v>
      </c>
      <c r="H93" s="26" t="s">
        <v>67</v>
      </c>
    </row>
    <row r="100" spans="1:10" x14ac:dyDescent="0.35">
      <c r="A100" s="265" t="s">
        <v>228</v>
      </c>
      <c r="B100" s="265" t="s">
        <v>206</v>
      </c>
      <c r="C100" s="265" t="s">
        <v>229</v>
      </c>
      <c r="D100" s="265" t="s">
        <v>142</v>
      </c>
      <c r="E100" s="265" t="s">
        <v>147</v>
      </c>
      <c r="F100" s="265" t="s">
        <v>225</v>
      </c>
      <c r="G100" s="265" t="s">
        <v>207</v>
      </c>
      <c r="H100" s="265" t="s">
        <v>231</v>
      </c>
      <c r="I100" s="265" t="s">
        <v>213</v>
      </c>
      <c r="J100" s="266" t="s">
        <v>215</v>
      </c>
    </row>
    <row r="101" spans="1:10" x14ac:dyDescent="0.35">
      <c r="A101" s="255" t="s">
        <v>212</v>
      </c>
      <c r="B101" s="257">
        <f>COUNTIF($D$2:$I$68,"&gt;=2,5")-COUNTIF($D$2:$I$68,"&gt;7,4")</f>
        <v>14</v>
      </c>
      <c r="C101" s="257">
        <v>5</v>
      </c>
      <c r="D101" s="257"/>
      <c r="E101" s="257">
        <f>(B101*10000)/625</f>
        <v>224</v>
      </c>
      <c r="F101" s="258">
        <f>(PI()/4)*(C101/100)^2</f>
        <v>1.9634954084936209E-3</v>
      </c>
      <c r="G101" s="258">
        <f>E101*F101</f>
        <v>0.4398229715025711</v>
      </c>
      <c r="H101" s="257"/>
      <c r="I101" s="257"/>
      <c r="J101" s="257"/>
    </row>
    <row r="102" spans="1:10" x14ac:dyDescent="0.35">
      <c r="A102" s="255" t="s">
        <v>211</v>
      </c>
      <c r="B102" s="257">
        <f>COUNTIF($D$2:$I$68,"&gt;=7,5")-COUNTIF($D$2:$I$68,"&gt;12,4")</f>
        <v>28</v>
      </c>
      <c r="C102" s="257">
        <v>10</v>
      </c>
      <c r="D102" s="257"/>
      <c r="E102" s="257">
        <f t="shared" ref="E102:E108" si="2">(B102*10000)/625</f>
        <v>448</v>
      </c>
      <c r="F102" s="258">
        <f t="shared" ref="F102:F108" si="3">(PI()/4)*(C102/100)^2</f>
        <v>7.8539816339744835E-3</v>
      </c>
      <c r="G102" s="258">
        <f t="shared" ref="G102:G108" si="4">E102*F102</f>
        <v>3.5185837720205688</v>
      </c>
      <c r="H102" s="257"/>
      <c r="I102" s="257"/>
      <c r="J102" s="257"/>
    </row>
    <row r="103" spans="1:10" x14ac:dyDescent="0.35">
      <c r="A103" s="255" t="s">
        <v>209</v>
      </c>
      <c r="B103" s="257">
        <f>COUNTIF($D$2:$I$68,"&gt;=12,5")-COUNTIF($D$2:$I$68,"&gt;17,4")</f>
        <v>10</v>
      </c>
      <c r="C103" s="257">
        <v>15</v>
      </c>
      <c r="D103" s="257"/>
      <c r="E103" s="257">
        <f t="shared" si="2"/>
        <v>160</v>
      </c>
      <c r="F103" s="258">
        <f t="shared" si="3"/>
        <v>1.7671458676442587E-2</v>
      </c>
      <c r="G103" s="258">
        <f t="shared" si="4"/>
        <v>2.8274333882308138</v>
      </c>
      <c r="H103" s="257"/>
      <c r="I103" s="257"/>
      <c r="J103" s="257"/>
    </row>
    <row r="104" spans="1:10" x14ac:dyDescent="0.35">
      <c r="A104" s="255" t="s">
        <v>208</v>
      </c>
      <c r="B104" s="257">
        <f>COUNTIF($D$2:$I$68,"&gt;=17,5")-COUNTIF($D$2:$I$68,"&gt;22,4")</f>
        <v>19</v>
      </c>
      <c r="C104" s="257">
        <v>20</v>
      </c>
      <c r="D104" s="257"/>
      <c r="E104" s="257">
        <f t="shared" si="2"/>
        <v>304</v>
      </c>
      <c r="F104" s="258">
        <f t="shared" si="3"/>
        <v>3.1415926535897934E-2</v>
      </c>
      <c r="G104" s="258">
        <f t="shared" si="4"/>
        <v>9.5504416669129721</v>
      </c>
      <c r="H104" s="257"/>
      <c r="I104" s="257"/>
      <c r="J104" s="257"/>
    </row>
    <row r="105" spans="1:10" x14ac:dyDescent="0.35">
      <c r="A105" s="255" t="s">
        <v>210</v>
      </c>
      <c r="B105" s="257">
        <f>COUNTIF($D$2:$I$68,"&gt;=22,5")-COUNTIF($D$2:$I$68,"&gt;27,4")</f>
        <v>9</v>
      </c>
      <c r="C105" s="257">
        <v>25</v>
      </c>
      <c r="D105" s="257"/>
      <c r="E105" s="257">
        <f t="shared" si="2"/>
        <v>144</v>
      </c>
      <c r="F105" s="258">
        <f t="shared" si="3"/>
        <v>4.9087385212340517E-2</v>
      </c>
      <c r="G105" s="258">
        <f t="shared" si="4"/>
        <v>7.0685834705770345</v>
      </c>
      <c r="H105" s="257"/>
      <c r="I105" s="257"/>
      <c r="J105" s="257"/>
    </row>
    <row r="106" spans="1:10" x14ac:dyDescent="0.35">
      <c r="A106" s="255" t="s">
        <v>221</v>
      </c>
      <c r="B106" s="257">
        <f>COUNTIF($D$2:$I$68,"&gt;=27,5")-COUNTIF($D$2:$I$68,"&gt;32,4")</f>
        <v>4</v>
      </c>
      <c r="C106" s="257">
        <v>30</v>
      </c>
      <c r="D106" s="257"/>
      <c r="E106" s="257">
        <f t="shared" si="2"/>
        <v>64</v>
      </c>
      <c r="F106" s="258">
        <f t="shared" si="3"/>
        <v>7.0685834705770348E-2</v>
      </c>
      <c r="G106" s="258">
        <f t="shared" si="4"/>
        <v>4.5238934211693023</v>
      </c>
      <c r="H106" s="257"/>
      <c r="I106" s="257"/>
      <c r="J106" s="257"/>
    </row>
    <row r="107" spans="1:10" x14ac:dyDescent="0.35">
      <c r="A107" s="255" t="s">
        <v>222</v>
      </c>
      <c r="B107" s="257">
        <f>COUNTIF($D$2:$I$68,"&gt;=32,5")-COUNTIF($D$2:$I$68,"&gt;37,4")</f>
        <v>1</v>
      </c>
      <c r="C107" s="257">
        <v>35</v>
      </c>
      <c r="D107" s="257"/>
      <c r="E107" s="257">
        <f t="shared" si="2"/>
        <v>16</v>
      </c>
      <c r="F107" s="258">
        <f t="shared" si="3"/>
        <v>9.6211275016187398E-2</v>
      </c>
      <c r="G107" s="258">
        <f t="shared" si="4"/>
        <v>1.5393804002589984</v>
      </c>
      <c r="H107" s="257"/>
      <c r="I107" s="257"/>
      <c r="J107" s="257"/>
    </row>
    <row r="108" spans="1:10" x14ac:dyDescent="0.35">
      <c r="A108" s="255" t="s">
        <v>223</v>
      </c>
      <c r="B108" s="257">
        <f>COUNTIF($D$2:$I$68,"&gt;=37,5")-COUNTIF($D$2:$I$68,"&gt;42,4")</f>
        <v>0</v>
      </c>
      <c r="C108" s="257">
        <v>40</v>
      </c>
      <c r="D108" s="257"/>
      <c r="E108" s="257">
        <f t="shared" si="2"/>
        <v>0</v>
      </c>
      <c r="F108" s="258">
        <f t="shared" si="3"/>
        <v>0.12566370614359174</v>
      </c>
      <c r="G108" s="258">
        <f t="shared" si="4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SUBTOTAL(109,Tabla24[NÚMERO DE PIES])</f>
        <v>85</v>
      </c>
      <c r="C109" s="268">
        <f>SUBTOTAL(103,Tabla24[CLASE DIAMETRICA])</f>
        <v>8</v>
      </c>
      <c r="D109" s="268"/>
      <c r="E109" s="268">
        <f>SUBTOTAL(109,Tabla24[pies/ha])</f>
        <v>1360</v>
      </c>
      <c r="F109" s="262"/>
      <c r="G109" s="264">
        <f>SUBTOTAL(109,Tabla24[G (m2/ha.)])</f>
        <v>29.46813909067226</v>
      </c>
      <c r="H109" s="268"/>
      <c r="I109" s="268"/>
      <c r="J109" s="268">
        <f>SUBTOTAL(109,Tabla24[AB (m2) final])</f>
        <v>0</v>
      </c>
    </row>
  </sheetData>
  <mergeCells count="2">
    <mergeCell ref="A78:K78"/>
    <mergeCell ref="A76:K76"/>
  </mergeCells>
  <pageMargins left="0.7" right="0.7" top="0.75" bottom="0.75" header="0.3" footer="0.3"/>
  <pageSetup paperSize="8" scale="63" fitToHeight="0" orientation="portrait" r:id="rId1"/>
  <headerFooter>
    <oddHeader>&amp;C
Parcela &amp;"-,Negrita"&amp;K09+000B5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view="pageLayout" zoomScale="40" zoomScaleNormal="100" zoomScalePageLayoutView="40" workbookViewId="0">
      <selection activeCell="N17" sqref="N17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6.1796875" customWidth="1"/>
    <col min="9" max="9" width="15.26953125" customWidth="1"/>
    <col min="10" max="10" width="13.1796875" customWidth="1"/>
    <col min="11" max="11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194</v>
      </c>
      <c r="H1" s="4" t="s">
        <v>9</v>
      </c>
      <c r="I1" s="198" t="s">
        <v>195</v>
      </c>
      <c r="J1" s="198" t="s">
        <v>239</v>
      </c>
      <c r="K1" s="34" t="s">
        <v>144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7</v>
      </c>
      <c r="D2" s="174">
        <v>18</v>
      </c>
      <c r="E2" s="174"/>
      <c r="F2" s="190"/>
      <c r="G2" s="190"/>
      <c r="H2" s="190"/>
      <c r="I2" s="190"/>
      <c r="J2" s="237">
        <f t="shared" ref="J2:J49" si="0">PI()*(((C2)/2)/100)^2+PI()*(((D2)/2)/100)^2+PI()*(((E2)/2)/100)^2+PI()*(((F2)/2)/100)^2+PI()*(((G2)/2)/100)^2+PI()*(((H2)/2)/100)^2</f>
        <v>2.9295351494724821E-2</v>
      </c>
      <c r="K2" s="190"/>
      <c r="L2" s="174" t="s">
        <v>76</v>
      </c>
      <c r="M2" s="175"/>
    </row>
    <row r="3" spans="1:13" x14ac:dyDescent="0.35">
      <c r="A3" s="192">
        <v>2</v>
      </c>
      <c r="B3" s="157">
        <v>125</v>
      </c>
      <c r="C3" s="157">
        <v>6.5</v>
      </c>
      <c r="D3" s="157">
        <v>15</v>
      </c>
      <c r="E3" s="157"/>
      <c r="F3" s="150"/>
      <c r="G3" s="150"/>
      <c r="H3" s="150"/>
      <c r="I3" s="150"/>
      <c r="J3" s="333">
        <f t="shared" si="0"/>
        <v>2.0989765916796806E-2</v>
      </c>
      <c r="K3" s="150">
        <v>1</v>
      </c>
      <c r="L3" s="157" t="s">
        <v>73</v>
      </c>
      <c r="M3" s="193"/>
    </row>
    <row r="4" spans="1:13" x14ac:dyDescent="0.35">
      <c r="A4" s="196">
        <v>3</v>
      </c>
      <c r="B4" s="156">
        <v>125</v>
      </c>
      <c r="C4" s="156" t="s">
        <v>110</v>
      </c>
      <c r="D4" s="156"/>
      <c r="E4" s="156">
        <v>16</v>
      </c>
      <c r="F4" s="149">
        <v>14</v>
      </c>
      <c r="G4" s="149"/>
      <c r="H4" s="149"/>
      <c r="I4" s="149"/>
      <c r="J4" s="242" t="e">
        <f t="shared" si="0"/>
        <v>#VALUE!</v>
      </c>
      <c r="K4" s="149">
        <v>2</v>
      </c>
      <c r="L4" s="156" t="s">
        <v>74</v>
      </c>
      <c r="M4" s="197"/>
    </row>
    <row r="5" spans="1:13" x14ac:dyDescent="0.35">
      <c r="A5" s="176">
        <v>4</v>
      </c>
      <c r="B5" s="137">
        <v>125</v>
      </c>
      <c r="C5" s="137">
        <v>8</v>
      </c>
      <c r="D5" s="137">
        <v>20</v>
      </c>
      <c r="E5" s="137"/>
      <c r="F5" s="138"/>
      <c r="G5" s="138"/>
      <c r="H5" s="138"/>
      <c r="I5" s="138"/>
      <c r="J5" s="241">
        <f t="shared" si="0"/>
        <v>3.6442474781641601E-2</v>
      </c>
      <c r="K5" s="138"/>
      <c r="L5" s="137" t="s">
        <v>78</v>
      </c>
      <c r="M5" s="177"/>
    </row>
    <row r="6" spans="1:13" x14ac:dyDescent="0.35">
      <c r="A6" s="176">
        <v>5</v>
      </c>
      <c r="B6" s="137">
        <v>125</v>
      </c>
      <c r="C6" s="137">
        <v>2</v>
      </c>
      <c r="D6" s="137">
        <v>7</v>
      </c>
      <c r="E6" s="137"/>
      <c r="F6" s="138"/>
      <c r="G6" s="138"/>
      <c r="H6" s="138"/>
      <c r="I6" s="138"/>
      <c r="J6" s="241">
        <f t="shared" si="0"/>
        <v>4.1626102660064761E-3</v>
      </c>
      <c r="K6" s="138"/>
      <c r="L6" s="137" t="s">
        <v>75</v>
      </c>
      <c r="M6" s="177"/>
    </row>
    <row r="7" spans="1:13" x14ac:dyDescent="0.35">
      <c r="A7" s="176">
        <v>6</v>
      </c>
      <c r="B7" s="137">
        <v>125</v>
      </c>
      <c r="C7" s="137">
        <v>8.5</v>
      </c>
      <c r="D7" s="137">
        <v>22</v>
      </c>
      <c r="E7" s="137"/>
      <c r="F7" s="138"/>
      <c r="G7" s="138"/>
      <c r="H7" s="138"/>
      <c r="I7" s="138"/>
      <c r="J7" s="241">
        <f t="shared" si="0"/>
        <v>4.3687772838983063E-2</v>
      </c>
      <c r="K7" s="138"/>
      <c r="L7" s="137" t="s">
        <v>78</v>
      </c>
      <c r="M7" s="177"/>
    </row>
    <row r="8" spans="1:13" x14ac:dyDescent="0.35">
      <c r="A8" s="176">
        <v>7</v>
      </c>
      <c r="B8" s="137">
        <v>125</v>
      </c>
      <c r="C8" s="137">
        <v>7</v>
      </c>
      <c r="D8" s="137"/>
      <c r="E8" s="137">
        <v>15</v>
      </c>
      <c r="F8" s="138">
        <v>19</v>
      </c>
      <c r="G8" s="138"/>
      <c r="H8" s="138"/>
      <c r="I8" s="138"/>
      <c r="J8" s="241">
        <f t="shared" si="0"/>
        <v>4.9872783375737965E-2</v>
      </c>
      <c r="K8" s="138"/>
      <c r="L8" s="137" t="s">
        <v>76</v>
      </c>
      <c r="M8" s="177"/>
    </row>
    <row r="9" spans="1:13" x14ac:dyDescent="0.35">
      <c r="A9" s="176">
        <v>8</v>
      </c>
      <c r="B9" s="137">
        <v>125</v>
      </c>
      <c r="C9" s="137">
        <v>6.5</v>
      </c>
      <c r="D9" s="137"/>
      <c r="E9" s="137">
        <v>16</v>
      </c>
      <c r="F9" s="138">
        <v>15</v>
      </c>
      <c r="G9" s="138"/>
      <c r="H9" s="138"/>
      <c r="I9" s="138"/>
      <c r="J9" s="241">
        <f t="shared" si="0"/>
        <v>4.1095958899771481E-2</v>
      </c>
      <c r="K9" s="138"/>
      <c r="L9" s="137" t="s">
        <v>74</v>
      </c>
      <c r="M9" s="177"/>
    </row>
    <row r="10" spans="1:13" x14ac:dyDescent="0.35">
      <c r="A10" s="176">
        <v>9</v>
      </c>
      <c r="B10" s="137">
        <v>125</v>
      </c>
      <c r="C10" s="137">
        <v>3</v>
      </c>
      <c r="D10" s="137">
        <v>13</v>
      </c>
      <c r="E10" s="137"/>
      <c r="F10" s="138"/>
      <c r="G10" s="138"/>
      <c r="H10" s="138"/>
      <c r="I10" s="138"/>
      <c r="J10" s="241">
        <f t="shared" si="0"/>
        <v>1.3980087308474581E-2</v>
      </c>
      <c r="K10" s="138"/>
      <c r="L10" s="137" t="s">
        <v>74</v>
      </c>
      <c r="M10" s="177"/>
    </row>
    <row r="11" spans="1:13" x14ac:dyDescent="0.35">
      <c r="A11" s="176">
        <v>10</v>
      </c>
      <c r="B11" s="137">
        <v>125</v>
      </c>
      <c r="C11" s="137">
        <v>8</v>
      </c>
      <c r="D11" s="137">
        <v>18</v>
      </c>
      <c r="E11" s="137"/>
      <c r="F11" s="138"/>
      <c r="G11" s="138"/>
      <c r="H11" s="138"/>
      <c r="I11" s="138"/>
      <c r="J11" s="241">
        <f t="shared" si="0"/>
        <v>3.0473448739820989E-2</v>
      </c>
      <c r="K11" s="138"/>
      <c r="L11" s="137" t="s">
        <v>76</v>
      </c>
      <c r="M11" s="177"/>
    </row>
    <row r="12" spans="1:13" x14ac:dyDescent="0.35">
      <c r="A12" s="196">
        <v>11</v>
      </c>
      <c r="B12" s="156">
        <v>125</v>
      </c>
      <c r="C12" s="156">
        <v>7</v>
      </c>
      <c r="D12" s="156"/>
      <c r="E12" s="156">
        <v>7</v>
      </c>
      <c r="F12" s="149">
        <v>13</v>
      </c>
      <c r="G12" s="149"/>
      <c r="H12" s="149"/>
      <c r="I12" s="149"/>
      <c r="J12" s="242">
        <f t="shared" si="0"/>
        <v>2.0970130962711872E-2</v>
      </c>
      <c r="K12" s="149">
        <v>2</v>
      </c>
      <c r="L12" s="156" t="s">
        <v>73</v>
      </c>
      <c r="M12" s="197"/>
    </row>
    <row r="13" spans="1:13" x14ac:dyDescent="0.35">
      <c r="A13" s="176">
        <v>12</v>
      </c>
      <c r="B13" s="137">
        <v>125</v>
      </c>
      <c r="C13" s="137">
        <v>8</v>
      </c>
      <c r="D13" s="137"/>
      <c r="E13" s="137">
        <v>19</v>
      </c>
      <c r="F13" s="138">
        <v>18</v>
      </c>
      <c r="G13" s="138"/>
      <c r="H13" s="138"/>
      <c r="I13" s="138"/>
      <c r="J13" s="241">
        <f t="shared" si="0"/>
        <v>5.8826322438468873E-2</v>
      </c>
      <c r="K13" s="138"/>
      <c r="L13" s="137" t="s">
        <v>76</v>
      </c>
      <c r="M13" s="177"/>
    </row>
    <row r="14" spans="1:13" x14ac:dyDescent="0.35">
      <c r="A14" s="176">
        <v>13</v>
      </c>
      <c r="B14" s="137">
        <v>125</v>
      </c>
      <c r="C14" s="137">
        <v>8</v>
      </c>
      <c r="D14" s="137"/>
      <c r="E14" s="137">
        <v>16</v>
      </c>
      <c r="F14" s="138">
        <v>25</v>
      </c>
      <c r="G14" s="138"/>
      <c r="H14" s="138"/>
      <c r="I14" s="138"/>
      <c r="J14" s="241">
        <f t="shared" si="0"/>
        <v>7.4220126441058853E-2</v>
      </c>
      <c r="K14" s="138"/>
      <c r="L14" s="137" t="s">
        <v>78</v>
      </c>
      <c r="M14" s="177"/>
    </row>
    <row r="15" spans="1:13" x14ac:dyDescent="0.35">
      <c r="A15" s="192">
        <v>14</v>
      </c>
      <c r="B15" s="157">
        <v>125</v>
      </c>
      <c r="C15" s="157">
        <v>7.5</v>
      </c>
      <c r="D15" s="157">
        <v>22</v>
      </c>
      <c r="E15" s="157"/>
      <c r="F15" s="150"/>
      <c r="G15" s="150"/>
      <c r="H15" s="150"/>
      <c r="I15" s="150"/>
      <c r="J15" s="333">
        <f t="shared" si="0"/>
        <v>4.2431135777547146E-2</v>
      </c>
      <c r="K15" s="150">
        <v>1</v>
      </c>
      <c r="L15" s="157" t="s">
        <v>76</v>
      </c>
      <c r="M15" s="193"/>
    </row>
    <row r="16" spans="1:13" x14ac:dyDescent="0.35">
      <c r="A16" s="176">
        <v>15</v>
      </c>
      <c r="B16" s="137">
        <v>125</v>
      </c>
      <c r="C16" s="137">
        <v>6</v>
      </c>
      <c r="D16" s="137">
        <v>10</v>
      </c>
      <c r="E16" s="137"/>
      <c r="F16" s="138"/>
      <c r="G16" s="138"/>
      <c r="H16" s="138"/>
      <c r="I16" s="138"/>
      <c r="J16" s="241">
        <f t="shared" si="0"/>
        <v>1.0681415022205296E-2</v>
      </c>
      <c r="K16" s="138"/>
      <c r="L16" s="137" t="s">
        <v>74</v>
      </c>
      <c r="M16" s="177"/>
    </row>
    <row r="17" spans="1:13" x14ac:dyDescent="0.35">
      <c r="A17" s="176">
        <v>16</v>
      </c>
      <c r="B17" s="137">
        <v>125</v>
      </c>
      <c r="C17" s="137">
        <v>9</v>
      </c>
      <c r="D17" s="137">
        <v>29</v>
      </c>
      <c r="E17" s="137"/>
      <c r="F17" s="138"/>
      <c r="G17" s="138"/>
      <c r="H17" s="138"/>
      <c r="I17" s="138"/>
      <c r="J17" s="241">
        <f t="shared" si="0"/>
        <v>7.2413710665244727E-2</v>
      </c>
      <c r="K17" s="138"/>
      <c r="L17" s="137" t="s">
        <v>78</v>
      </c>
      <c r="M17" s="177"/>
    </row>
    <row r="18" spans="1:13" x14ac:dyDescent="0.35">
      <c r="A18" s="176">
        <v>17</v>
      </c>
      <c r="B18" s="137">
        <v>125</v>
      </c>
      <c r="C18" s="137">
        <v>7.5</v>
      </c>
      <c r="D18" s="137">
        <v>17</v>
      </c>
      <c r="E18" s="137"/>
      <c r="F18" s="138"/>
      <c r="G18" s="138"/>
      <c r="H18" s="138"/>
      <c r="I18" s="138"/>
      <c r="J18" s="241">
        <f t="shared" si="0"/>
        <v>2.7115871591296907E-2</v>
      </c>
      <c r="K18" s="138"/>
      <c r="L18" s="137" t="s">
        <v>73</v>
      </c>
      <c r="M18" s="177"/>
    </row>
    <row r="19" spans="1:13" x14ac:dyDescent="0.35">
      <c r="A19" s="192">
        <v>18</v>
      </c>
      <c r="B19" s="157">
        <v>125</v>
      </c>
      <c r="C19" s="157">
        <v>5</v>
      </c>
      <c r="D19" s="157">
        <v>7</v>
      </c>
      <c r="E19" s="157"/>
      <c r="F19" s="150"/>
      <c r="G19" s="150"/>
      <c r="H19" s="150"/>
      <c r="I19" s="150"/>
      <c r="J19" s="333">
        <f t="shared" si="0"/>
        <v>5.8119464091411178E-3</v>
      </c>
      <c r="K19" s="150">
        <v>1</v>
      </c>
      <c r="L19" s="157" t="s">
        <v>74</v>
      </c>
      <c r="M19" s="193"/>
    </row>
    <row r="20" spans="1:13" x14ac:dyDescent="0.35">
      <c r="A20" s="176">
        <v>19</v>
      </c>
      <c r="B20" s="137">
        <v>125</v>
      </c>
      <c r="C20" s="137">
        <v>6</v>
      </c>
      <c r="D20" s="137">
        <v>12</v>
      </c>
      <c r="E20" s="137"/>
      <c r="F20" s="138"/>
      <c r="G20" s="138"/>
      <c r="H20" s="138"/>
      <c r="I20" s="138"/>
      <c r="J20" s="241">
        <f t="shared" si="0"/>
        <v>1.4137166941154067E-2</v>
      </c>
      <c r="K20" s="138"/>
      <c r="L20" s="137" t="s">
        <v>74</v>
      </c>
      <c r="M20" s="177"/>
    </row>
    <row r="21" spans="1:13" x14ac:dyDescent="0.35">
      <c r="A21" s="176">
        <v>20</v>
      </c>
      <c r="B21" s="137">
        <v>125</v>
      </c>
      <c r="C21" s="137">
        <v>8.5</v>
      </c>
      <c r="D21" s="137">
        <v>20</v>
      </c>
      <c r="E21" s="137"/>
      <c r="F21" s="138"/>
      <c r="G21" s="138"/>
      <c r="H21" s="138"/>
      <c r="I21" s="138"/>
      <c r="J21" s="241">
        <f t="shared" si="0"/>
        <v>3.70904282664445E-2</v>
      </c>
      <c r="K21" s="138"/>
      <c r="L21" s="137" t="s">
        <v>78</v>
      </c>
      <c r="M21" s="177"/>
    </row>
    <row r="22" spans="1:13" x14ac:dyDescent="0.35">
      <c r="A22" s="176">
        <v>21</v>
      </c>
      <c r="B22" s="137">
        <v>125</v>
      </c>
      <c r="C22" s="137">
        <v>8</v>
      </c>
      <c r="D22" s="137">
        <v>16</v>
      </c>
      <c r="E22" s="137"/>
      <c r="F22" s="138"/>
      <c r="G22" s="138"/>
      <c r="H22" s="138"/>
      <c r="I22" s="138"/>
      <c r="J22" s="241">
        <f t="shared" si="0"/>
        <v>2.5132741228718343E-2</v>
      </c>
      <c r="K22" s="138"/>
      <c r="L22" s="137" t="s">
        <v>76</v>
      </c>
      <c r="M22" s="177"/>
    </row>
    <row r="23" spans="1:13" x14ac:dyDescent="0.35">
      <c r="A23" s="176">
        <v>22</v>
      </c>
      <c r="B23" s="137">
        <v>125</v>
      </c>
      <c r="C23" s="137">
        <v>7</v>
      </c>
      <c r="D23" s="137">
        <v>18</v>
      </c>
      <c r="E23" s="137"/>
      <c r="F23" s="138"/>
      <c r="G23" s="138"/>
      <c r="H23" s="138"/>
      <c r="I23" s="138"/>
      <c r="J23" s="241">
        <f t="shared" si="0"/>
        <v>2.9295351494724821E-2</v>
      </c>
      <c r="K23" s="138"/>
      <c r="L23" s="137" t="s">
        <v>73</v>
      </c>
      <c r="M23" s="177"/>
    </row>
    <row r="24" spans="1:13" x14ac:dyDescent="0.35">
      <c r="A24" s="176">
        <v>23</v>
      </c>
      <c r="B24" s="137">
        <v>125</v>
      </c>
      <c r="C24" s="137">
        <v>7</v>
      </c>
      <c r="D24" s="137">
        <v>19</v>
      </c>
      <c r="E24" s="137"/>
      <c r="F24" s="138"/>
      <c r="G24" s="138"/>
      <c r="H24" s="138"/>
      <c r="I24" s="138"/>
      <c r="J24" s="241">
        <f t="shared" si="0"/>
        <v>3.2201324699295382E-2</v>
      </c>
      <c r="K24" s="138"/>
      <c r="L24" s="137" t="s">
        <v>76</v>
      </c>
      <c r="M24" s="177"/>
    </row>
    <row r="25" spans="1:13" x14ac:dyDescent="0.35">
      <c r="A25" s="176">
        <v>24</v>
      </c>
      <c r="B25" s="137">
        <v>125</v>
      </c>
      <c r="C25" s="137">
        <v>7.5</v>
      </c>
      <c r="D25" s="137">
        <v>14</v>
      </c>
      <c r="E25" s="137"/>
      <c r="F25" s="138"/>
      <c r="G25" s="138"/>
      <c r="H25" s="138"/>
      <c r="I25" s="138"/>
      <c r="J25" s="241">
        <f t="shared" si="0"/>
        <v>1.9811668671700634E-2</v>
      </c>
      <c r="K25" s="138"/>
      <c r="L25" s="137" t="s">
        <v>76</v>
      </c>
      <c r="M25" s="177"/>
    </row>
    <row r="26" spans="1:13" x14ac:dyDescent="0.35">
      <c r="A26" s="176">
        <v>25</v>
      </c>
      <c r="B26" s="137">
        <v>125</v>
      </c>
      <c r="C26" s="137">
        <v>8</v>
      </c>
      <c r="D26" s="137"/>
      <c r="E26" s="137">
        <v>20</v>
      </c>
      <c r="F26" s="138">
        <v>11</v>
      </c>
      <c r="G26" s="138"/>
      <c r="H26" s="138"/>
      <c r="I26" s="138"/>
      <c r="J26" s="241">
        <f t="shared" si="0"/>
        <v>4.5945792558750725E-2</v>
      </c>
      <c r="K26" s="138"/>
      <c r="L26" s="137" t="s">
        <v>76</v>
      </c>
      <c r="M26" s="177"/>
    </row>
    <row r="27" spans="1:13" x14ac:dyDescent="0.35">
      <c r="A27" s="176">
        <v>26</v>
      </c>
      <c r="B27" s="137">
        <v>125</v>
      </c>
      <c r="C27" s="137">
        <v>7</v>
      </c>
      <c r="D27" s="137"/>
      <c r="E27" s="137">
        <v>16</v>
      </c>
      <c r="F27" s="138">
        <v>12</v>
      </c>
      <c r="G27" s="138"/>
      <c r="H27" s="138"/>
      <c r="I27" s="138"/>
      <c r="J27" s="241">
        <f t="shared" si="0"/>
        <v>3.5264377536545433E-2</v>
      </c>
      <c r="K27" s="138"/>
      <c r="L27" s="137" t="s">
        <v>73</v>
      </c>
      <c r="M27" s="177" t="s">
        <v>84</v>
      </c>
    </row>
    <row r="28" spans="1:13" x14ac:dyDescent="0.35">
      <c r="A28" s="176">
        <v>27</v>
      </c>
      <c r="B28" s="137">
        <v>125</v>
      </c>
      <c r="C28" s="137">
        <v>8</v>
      </c>
      <c r="D28" s="137"/>
      <c r="E28" s="137">
        <v>8</v>
      </c>
      <c r="F28" s="138">
        <v>16</v>
      </c>
      <c r="G28" s="138">
        <v>11</v>
      </c>
      <c r="H28" s="138"/>
      <c r="I28" s="138"/>
      <c r="J28" s="241">
        <f t="shared" si="0"/>
        <v>3.9662607251571141E-2</v>
      </c>
      <c r="K28" s="138"/>
      <c r="L28" s="137" t="s">
        <v>76</v>
      </c>
      <c r="M28" s="177" t="s">
        <v>84</v>
      </c>
    </row>
    <row r="29" spans="1:13" x14ac:dyDescent="0.35">
      <c r="A29" s="192">
        <v>28</v>
      </c>
      <c r="B29" s="157">
        <v>125</v>
      </c>
      <c r="C29" s="157">
        <v>7</v>
      </c>
      <c r="D29" s="157">
        <v>20</v>
      </c>
      <c r="E29" s="157"/>
      <c r="F29" s="150"/>
      <c r="G29" s="150"/>
      <c r="H29" s="150"/>
      <c r="I29" s="150"/>
      <c r="J29" s="333">
        <f t="shared" si="0"/>
        <v>3.5264377536545433E-2</v>
      </c>
      <c r="K29" s="150">
        <v>1</v>
      </c>
      <c r="L29" s="157" t="s">
        <v>73</v>
      </c>
      <c r="M29" s="193"/>
    </row>
    <row r="30" spans="1:13" x14ac:dyDescent="0.35">
      <c r="A30" s="176">
        <v>29</v>
      </c>
      <c r="B30" s="137">
        <v>125</v>
      </c>
      <c r="C30" s="137">
        <v>8.5</v>
      </c>
      <c r="D30" s="137">
        <v>22</v>
      </c>
      <c r="E30" s="137"/>
      <c r="F30" s="138"/>
      <c r="G30" s="138"/>
      <c r="H30" s="138"/>
      <c r="I30" s="138"/>
      <c r="J30" s="241">
        <f t="shared" si="0"/>
        <v>4.3687772838983063E-2</v>
      </c>
      <c r="K30" s="138"/>
      <c r="L30" s="137" t="s">
        <v>78</v>
      </c>
      <c r="M30" s="177"/>
    </row>
    <row r="31" spans="1:13" x14ac:dyDescent="0.35">
      <c r="A31" s="176">
        <v>30</v>
      </c>
      <c r="B31" s="137">
        <v>125</v>
      </c>
      <c r="C31" s="137">
        <v>8</v>
      </c>
      <c r="D31" s="137">
        <v>21</v>
      </c>
      <c r="E31" s="137"/>
      <c r="F31" s="138"/>
      <c r="G31" s="138"/>
      <c r="H31" s="138"/>
      <c r="I31" s="138"/>
      <c r="J31" s="241">
        <f t="shared" si="0"/>
        <v>3.9662607251571134E-2</v>
      </c>
      <c r="K31" s="138"/>
      <c r="L31" s="137" t="s">
        <v>76</v>
      </c>
      <c r="M31" s="177"/>
    </row>
    <row r="32" spans="1:13" x14ac:dyDescent="0.35">
      <c r="A32" s="176">
        <v>31</v>
      </c>
      <c r="B32" s="137">
        <v>46</v>
      </c>
      <c r="C32" s="137">
        <v>4</v>
      </c>
      <c r="D32" s="137">
        <v>6</v>
      </c>
      <c r="E32" s="137"/>
      <c r="F32" s="138"/>
      <c r="G32" s="138"/>
      <c r="H32" s="138"/>
      <c r="I32" s="138"/>
      <c r="J32" s="241">
        <f t="shared" si="0"/>
        <v>4.0840704496667313E-3</v>
      </c>
      <c r="K32" s="138"/>
      <c r="L32" s="137" t="s">
        <v>76</v>
      </c>
      <c r="M32" s="177"/>
    </row>
    <row r="33" spans="1:13" x14ac:dyDescent="0.35">
      <c r="A33" s="176">
        <v>32</v>
      </c>
      <c r="B33" s="137">
        <v>46</v>
      </c>
      <c r="C33" s="137">
        <v>5</v>
      </c>
      <c r="D33" s="137">
        <v>11</v>
      </c>
      <c r="E33" s="137"/>
      <c r="F33" s="138"/>
      <c r="G33" s="138"/>
      <c r="H33" s="138"/>
      <c r="I33" s="138"/>
      <c r="J33" s="241">
        <f t="shared" si="0"/>
        <v>1.1466813185602744E-2</v>
      </c>
      <c r="K33" s="138"/>
      <c r="L33" s="137" t="s">
        <v>76</v>
      </c>
      <c r="M33" s="177"/>
    </row>
    <row r="34" spans="1:13" x14ac:dyDescent="0.35">
      <c r="A34" s="176">
        <v>33</v>
      </c>
      <c r="B34" s="137">
        <v>46</v>
      </c>
      <c r="C34" s="137">
        <v>2</v>
      </c>
      <c r="D34" s="137">
        <v>5</v>
      </c>
      <c r="E34" s="137"/>
      <c r="F34" s="138"/>
      <c r="G34" s="138"/>
      <c r="H34" s="138"/>
      <c r="I34" s="138"/>
      <c r="J34" s="241">
        <f t="shared" si="0"/>
        <v>2.2776546738526001E-3</v>
      </c>
      <c r="K34" s="138"/>
      <c r="L34" s="137" t="s">
        <v>74</v>
      </c>
      <c r="M34" s="177"/>
    </row>
    <row r="35" spans="1:13" x14ac:dyDescent="0.35">
      <c r="A35" s="176">
        <v>34</v>
      </c>
      <c r="B35" s="137">
        <v>46</v>
      </c>
      <c r="C35" s="137">
        <v>2</v>
      </c>
      <c r="D35" s="137">
        <v>5</v>
      </c>
      <c r="E35" s="137"/>
      <c r="F35" s="138"/>
      <c r="G35" s="138"/>
      <c r="H35" s="138"/>
      <c r="I35" s="138"/>
      <c r="J35" s="241">
        <f t="shared" si="0"/>
        <v>2.2776546738526001E-3</v>
      </c>
      <c r="K35" s="138"/>
      <c r="L35" s="137" t="s">
        <v>74</v>
      </c>
      <c r="M35" s="177"/>
    </row>
    <row r="36" spans="1:13" x14ac:dyDescent="0.35">
      <c r="A36" s="176">
        <v>35</v>
      </c>
      <c r="B36" s="137">
        <v>46</v>
      </c>
      <c r="C36" s="137">
        <v>2</v>
      </c>
      <c r="D36" s="137">
        <v>5</v>
      </c>
      <c r="E36" s="137"/>
      <c r="F36" s="138"/>
      <c r="G36" s="138"/>
      <c r="H36" s="138"/>
      <c r="I36" s="138"/>
      <c r="J36" s="241">
        <f t="shared" si="0"/>
        <v>2.2776546738526001E-3</v>
      </c>
      <c r="K36" s="138"/>
      <c r="L36" s="137" t="s">
        <v>74</v>
      </c>
      <c r="M36" s="177"/>
    </row>
    <row r="37" spans="1:13" x14ac:dyDescent="0.35">
      <c r="A37" s="176">
        <v>36</v>
      </c>
      <c r="B37" s="137">
        <v>125</v>
      </c>
      <c r="C37" s="137">
        <v>9</v>
      </c>
      <c r="D37" s="137">
        <v>18</v>
      </c>
      <c r="E37" s="137"/>
      <c r="F37" s="138"/>
      <c r="G37" s="138"/>
      <c r="H37" s="138"/>
      <c r="I37" s="138"/>
      <c r="J37" s="241">
        <f t="shared" si="0"/>
        <v>3.1808625617596654E-2</v>
      </c>
      <c r="K37" s="138"/>
      <c r="L37" s="137" t="s">
        <v>78</v>
      </c>
      <c r="M37" s="177"/>
    </row>
    <row r="38" spans="1:13" x14ac:dyDescent="0.35">
      <c r="A38" s="176">
        <v>37</v>
      </c>
      <c r="B38" s="137">
        <v>125</v>
      </c>
      <c r="C38" s="137">
        <v>6.5</v>
      </c>
      <c r="D38" s="137">
        <v>15</v>
      </c>
      <c r="E38" s="137"/>
      <c r="F38" s="138"/>
      <c r="G38" s="138"/>
      <c r="H38" s="138"/>
      <c r="I38" s="138"/>
      <c r="J38" s="241">
        <f t="shared" si="0"/>
        <v>2.0989765916796806E-2</v>
      </c>
      <c r="K38" s="138"/>
      <c r="L38" s="137" t="s">
        <v>73</v>
      </c>
      <c r="M38" s="177"/>
    </row>
    <row r="39" spans="1:13" x14ac:dyDescent="0.35">
      <c r="A39" s="176">
        <v>38</v>
      </c>
      <c r="B39" s="137">
        <v>125</v>
      </c>
      <c r="C39" s="137">
        <v>8</v>
      </c>
      <c r="D39" s="137">
        <v>20</v>
      </c>
      <c r="E39" s="137"/>
      <c r="F39" s="138"/>
      <c r="G39" s="138"/>
      <c r="H39" s="138"/>
      <c r="I39" s="138"/>
      <c r="J39" s="241">
        <f t="shared" si="0"/>
        <v>3.6442474781641601E-2</v>
      </c>
      <c r="K39" s="138"/>
      <c r="L39" s="137" t="s">
        <v>76</v>
      </c>
      <c r="M39" s="177"/>
    </row>
    <row r="40" spans="1:13" x14ac:dyDescent="0.35">
      <c r="A40" s="176">
        <v>39</v>
      </c>
      <c r="B40" s="137">
        <v>125</v>
      </c>
      <c r="C40" s="137">
        <v>6</v>
      </c>
      <c r="D40" s="137">
        <v>12</v>
      </c>
      <c r="E40" s="137"/>
      <c r="F40" s="138"/>
      <c r="G40" s="138"/>
      <c r="H40" s="138"/>
      <c r="I40" s="138"/>
      <c r="J40" s="241">
        <f t="shared" si="0"/>
        <v>1.4137166941154067E-2</v>
      </c>
      <c r="K40" s="138"/>
      <c r="L40" s="137" t="s">
        <v>73</v>
      </c>
      <c r="M40" s="177"/>
    </row>
    <row r="41" spans="1:13" x14ac:dyDescent="0.35">
      <c r="A41" s="192">
        <v>40</v>
      </c>
      <c r="B41" s="157">
        <v>125</v>
      </c>
      <c r="C41" s="157">
        <v>6.5</v>
      </c>
      <c r="D41" s="157">
        <v>18</v>
      </c>
      <c r="E41" s="157"/>
      <c r="F41" s="150"/>
      <c r="G41" s="150"/>
      <c r="H41" s="150"/>
      <c r="I41" s="150"/>
      <c r="J41" s="333">
        <f t="shared" si="0"/>
        <v>2.8765207734431541E-2</v>
      </c>
      <c r="K41" s="150">
        <v>1</v>
      </c>
      <c r="L41" s="157" t="s">
        <v>76</v>
      </c>
      <c r="M41" s="193"/>
    </row>
    <row r="42" spans="1:13" x14ac:dyDescent="0.35">
      <c r="A42" s="176">
        <v>41</v>
      </c>
      <c r="B42" s="137">
        <v>125</v>
      </c>
      <c r="C42" s="137">
        <v>7</v>
      </c>
      <c r="D42" s="137">
        <v>18</v>
      </c>
      <c r="E42" s="137"/>
      <c r="F42" s="138"/>
      <c r="G42" s="138"/>
      <c r="H42" s="138"/>
      <c r="I42" s="138"/>
      <c r="J42" s="241">
        <f t="shared" si="0"/>
        <v>2.9295351494724821E-2</v>
      </c>
      <c r="K42" s="138"/>
      <c r="L42" s="137" t="s">
        <v>76</v>
      </c>
      <c r="M42" s="177"/>
    </row>
    <row r="43" spans="1:13" x14ac:dyDescent="0.35">
      <c r="A43" s="176">
        <v>42</v>
      </c>
      <c r="B43" s="137">
        <v>125</v>
      </c>
      <c r="C43" s="137">
        <v>7.5</v>
      </c>
      <c r="D43" s="137">
        <v>19</v>
      </c>
      <c r="E43" s="137"/>
      <c r="F43" s="138"/>
      <c r="G43" s="138"/>
      <c r="H43" s="138"/>
      <c r="I43" s="138"/>
      <c r="J43" s="241">
        <f t="shared" si="0"/>
        <v>3.2770738367758533E-2</v>
      </c>
      <c r="K43" s="138"/>
      <c r="L43" s="137" t="s">
        <v>76</v>
      </c>
      <c r="M43" s="177"/>
    </row>
    <row r="44" spans="1:13" x14ac:dyDescent="0.35">
      <c r="A44" s="176">
        <v>43</v>
      </c>
      <c r="B44" s="137">
        <v>125</v>
      </c>
      <c r="C44" s="137">
        <v>7.5</v>
      </c>
      <c r="D44" s="137"/>
      <c r="E44" s="137">
        <v>10</v>
      </c>
      <c r="F44" s="138">
        <v>12</v>
      </c>
      <c r="G44" s="138"/>
      <c r="H44" s="138"/>
      <c r="I44" s="138"/>
      <c r="J44" s="241">
        <f t="shared" si="0"/>
        <v>2.3581579856008384E-2</v>
      </c>
      <c r="K44" s="138"/>
      <c r="L44" s="137" t="s">
        <v>76</v>
      </c>
      <c r="M44" s="177"/>
    </row>
    <row r="45" spans="1:13" x14ac:dyDescent="0.35">
      <c r="A45" s="176">
        <v>44</v>
      </c>
      <c r="B45" s="137">
        <v>125</v>
      </c>
      <c r="C45" s="137">
        <v>8</v>
      </c>
      <c r="D45" s="137">
        <v>21</v>
      </c>
      <c r="E45" s="137"/>
      <c r="F45" s="138"/>
      <c r="G45" s="138"/>
      <c r="H45" s="138"/>
      <c r="I45" s="138"/>
      <c r="J45" s="241">
        <f t="shared" si="0"/>
        <v>3.9662607251571134E-2</v>
      </c>
      <c r="K45" s="138"/>
      <c r="L45" s="137" t="s">
        <v>78</v>
      </c>
      <c r="M45" s="177"/>
    </row>
    <row r="46" spans="1:13" x14ac:dyDescent="0.35">
      <c r="A46" s="176">
        <v>45</v>
      </c>
      <c r="B46" s="137">
        <v>125</v>
      </c>
      <c r="C46" s="137">
        <v>7</v>
      </c>
      <c r="D46" s="137">
        <v>13</v>
      </c>
      <c r="E46" s="137"/>
      <c r="F46" s="138"/>
      <c r="G46" s="138"/>
      <c r="H46" s="138"/>
      <c r="I46" s="138"/>
      <c r="J46" s="241">
        <f t="shared" si="0"/>
        <v>1.7121679962064373E-2</v>
      </c>
      <c r="K46" s="138"/>
      <c r="L46" s="137" t="s">
        <v>76</v>
      </c>
      <c r="M46" s="177"/>
    </row>
    <row r="47" spans="1:13" x14ac:dyDescent="0.35">
      <c r="A47" s="176">
        <v>46</v>
      </c>
      <c r="B47" s="137">
        <v>125</v>
      </c>
      <c r="C47" s="137">
        <v>8</v>
      </c>
      <c r="D47" s="137">
        <v>21</v>
      </c>
      <c r="E47" s="137"/>
      <c r="F47" s="138"/>
      <c r="G47" s="138"/>
      <c r="H47" s="138"/>
      <c r="I47" s="138"/>
      <c r="J47" s="241">
        <f t="shared" si="0"/>
        <v>3.9662607251571134E-2</v>
      </c>
      <c r="K47" s="138"/>
      <c r="L47" s="137" t="s">
        <v>76</v>
      </c>
      <c r="M47" s="177"/>
    </row>
    <row r="48" spans="1:13" x14ac:dyDescent="0.35">
      <c r="A48" s="176">
        <v>47</v>
      </c>
      <c r="B48" s="137">
        <v>125</v>
      </c>
      <c r="C48" s="137">
        <v>7</v>
      </c>
      <c r="D48" s="137">
        <v>18</v>
      </c>
      <c r="E48" s="137"/>
      <c r="F48" s="138"/>
      <c r="G48" s="138"/>
      <c r="H48" s="138"/>
      <c r="I48" s="138"/>
      <c r="J48" s="241">
        <f t="shared" si="0"/>
        <v>2.9295351494724821E-2</v>
      </c>
      <c r="K48" s="138"/>
      <c r="L48" s="137" t="s">
        <v>73</v>
      </c>
      <c r="M48" s="177"/>
    </row>
    <row r="49" spans="1:13" ht="15" thickBot="1" x14ac:dyDescent="0.4">
      <c r="A49" s="211">
        <v>48</v>
      </c>
      <c r="B49" s="212">
        <v>125</v>
      </c>
      <c r="C49" s="212">
        <v>7.5</v>
      </c>
      <c r="D49" s="212">
        <v>16</v>
      </c>
      <c r="E49" s="212"/>
      <c r="F49" s="213"/>
      <c r="G49" s="213"/>
      <c r="H49" s="213"/>
      <c r="I49" s="213"/>
      <c r="J49" s="334">
        <f t="shared" si="0"/>
        <v>2.4524057652085322E-2</v>
      </c>
      <c r="K49" s="213">
        <v>1</v>
      </c>
      <c r="L49" s="212" t="s">
        <v>76</v>
      </c>
      <c r="M49" s="214"/>
    </row>
    <row r="50" spans="1:13" x14ac:dyDescent="0.35">
      <c r="A50" s="229">
        <f>SUBTOTAL(103,Tabla12[número de árboles])</f>
        <v>48</v>
      </c>
      <c r="B50" s="239" t="s">
        <v>200</v>
      </c>
      <c r="C50" s="239">
        <f>SUBTOTAL(101,Tabla12[altura])</f>
        <v>6.7127659574468082</v>
      </c>
      <c r="D50" s="330">
        <f>SUBTOTAL(101,Tabla12[diámetro])</f>
        <v>15.815789473684211</v>
      </c>
      <c r="E50" s="239">
        <f>SUBTOTAL(101,Tabla12[Hermanado1])</f>
        <v>14.3</v>
      </c>
      <c r="F50" s="308">
        <f>SUBTOTAL(101,Tabla12[Hermanado2])</f>
        <v>15.5</v>
      </c>
      <c r="G50" s="308"/>
      <c r="H50" s="308"/>
      <c r="I50" s="331"/>
      <c r="J50" s="331"/>
      <c r="K50" s="329">
        <f>SUBTOTAL(109,Tabla12[apeados])</f>
        <v>10</v>
      </c>
      <c r="L50" s="332"/>
      <c r="M50" s="36">
        <f>SUBTOTAL(103,Tabla12[observaciones])</f>
        <v>2</v>
      </c>
    </row>
    <row r="51" spans="1:13" x14ac:dyDescent="0.35">
      <c r="A51" s="19" t="s">
        <v>53</v>
      </c>
    </row>
    <row r="52" spans="1:13" x14ac:dyDescent="0.35">
      <c r="A52" s="19"/>
    </row>
    <row r="53" spans="1:13" x14ac:dyDescent="0.35">
      <c r="A53" s="19" t="s">
        <v>54</v>
      </c>
    </row>
    <row r="54" spans="1:13" x14ac:dyDescent="0.35">
      <c r="A54" s="19"/>
    </row>
    <row r="56" spans="1:13" ht="15" thickBot="1" x14ac:dyDescent="0.4">
      <c r="A56" s="19" t="s">
        <v>64</v>
      </c>
    </row>
    <row r="57" spans="1:13" ht="15" thickBot="1" x14ac:dyDescent="0.4">
      <c r="A57" s="365" t="s">
        <v>51</v>
      </c>
      <c r="B57" s="366"/>
      <c r="C57" s="366"/>
      <c r="D57" s="366"/>
      <c r="E57" s="366"/>
      <c r="F57" s="366"/>
      <c r="G57" s="366"/>
      <c r="H57" s="366"/>
      <c r="I57" s="366"/>
      <c r="J57" s="366"/>
      <c r="K57" s="367"/>
    </row>
    <row r="58" spans="1:13" ht="15" thickBot="1" x14ac:dyDescent="0.4">
      <c r="A58" s="19" t="s">
        <v>63</v>
      </c>
    </row>
    <row r="59" spans="1:13" ht="15" thickBot="1" x14ac:dyDescent="0.4">
      <c r="A59" s="365" t="s">
        <v>202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7"/>
    </row>
    <row r="60" spans="1:13" ht="15" thickBot="1" x14ac:dyDescent="0.4"/>
    <row r="61" spans="1:13" ht="15" thickBot="1" x14ac:dyDescent="0.4">
      <c r="A61" t="s">
        <v>128</v>
      </c>
      <c r="B61">
        <f>COUNT(Tabla12[[diámetro]:[Hermanado5]])</f>
        <v>59</v>
      </c>
      <c r="C61">
        <f>25*25</f>
        <v>625</v>
      </c>
      <c r="E61" s="55" t="s">
        <v>29</v>
      </c>
      <c r="F61" s="57"/>
      <c r="G61" s="31" t="s">
        <v>65</v>
      </c>
      <c r="H61" s="32"/>
      <c r="I61" s="28" t="s">
        <v>4</v>
      </c>
      <c r="J61" s="30"/>
    </row>
    <row r="62" spans="1:13" ht="15" thickBot="1" x14ac:dyDescent="0.4">
      <c r="B62">
        <f>B61*C62/C61</f>
        <v>944</v>
      </c>
      <c r="C62">
        <v>10000</v>
      </c>
      <c r="E62" s="67" t="s">
        <v>30</v>
      </c>
      <c r="F62" s="68" t="s">
        <v>31</v>
      </c>
      <c r="G62" s="20">
        <v>125</v>
      </c>
      <c r="H62" s="21" t="s">
        <v>23</v>
      </c>
      <c r="I62" s="13" t="s">
        <v>6</v>
      </c>
      <c r="J62" s="14" t="s">
        <v>58</v>
      </c>
    </row>
    <row r="63" spans="1:13" ht="21.5" thickBot="1" x14ac:dyDescent="0.55000000000000004">
      <c r="A63" s="27" t="s">
        <v>122</v>
      </c>
      <c r="B63" s="49" t="s">
        <v>28</v>
      </c>
      <c r="C63" s="10" t="s">
        <v>52</v>
      </c>
      <c r="D63" s="50" t="s">
        <v>147</v>
      </c>
      <c r="E63" s="69" t="s">
        <v>32</v>
      </c>
      <c r="F63" s="70" t="s">
        <v>33</v>
      </c>
      <c r="G63" s="22">
        <v>130</v>
      </c>
      <c r="H63" s="23" t="s">
        <v>25</v>
      </c>
      <c r="I63" s="15" t="s">
        <v>5</v>
      </c>
      <c r="J63" s="16" t="s">
        <v>59</v>
      </c>
    </row>
    <row r="64" spans="1:13" ht="15" thickBot="1" x14ac:dyDescent="0.4">
      <c r="A64" s="10"/>
      <c r="B64" s="12">
        <v>2</v>
      </c>
      <c r="C64" s="12">
        <v>1</v>
      </c>
      <c r="D64" s="49">
        <f>B62</f>
        <v>944</v>
      </c>
      <c r="E64" s="69" t="s">
        <v>34</v>
      </c>
      <c r="F64" s="70" t="s">
        <v>35</v>
      </c>
      <c r="G64" s="22">
        <v>46</v>
      </c>
      <c r="H64" s="23" t="s">
        <v>26</v>
      </c>
      <c r="I64" s="15" t="s">
        <v>13</v>
      </c>
      <c r="J64" s="16" t="s">
        <v>60</v>
      </c>
    </row>
    <row r="65" spans="5:10" x14ac:dyDescent="0.35">
      <c r="E65" s="69" t="s">
        <v>36</v>
      </c>
      <c r="F65" s="71" t="s">
        <v>37</v>
      </c>
      <c r="G65" s="22">
        <v>43</v>
      </c>
      <c r="H65" s="23" t="s">
        <v>27</v>
      </c>
      <c r="I65" s="15" t="s">
        <v>10</v>
      </c>
      <c r="J65" s="16" t="s">
        <v>61</v>
      </c>
    </row>
    <row r="66" spans="5:10" ht="15" thickBot="1" x14ac:dyDescent="0.4">
      <c r="E66" s="69" t="s">
        <v>16</v>
      </c>
      <c r="F66" s="70" t="s">
        <v>38</v>
      </c>
      <c r="G66" s="22">
        <v>23</v>
      </c>
      <c r="H66" s="23" t="s">
        <v>22</v>
      </c>
      <c r="I66" s="17" t="s">
        <v>12</v>
      </c>
      <c r="J66" s="18" t="s">
        <v>62</v>
      </c>
    </row>
    <row r="67" spans="5:10" x14ac:dyDescent="0.35">
      <c r="E67" s="69" t="s">
        <v>39</v>
      </c>
      <c r="F67" s="70" t="s">
        <v>40</v>
      </c>
      <c r="G67" s="22">
        <v>73</v>
      </c>
      <c r="H67" s="23" t="s">
        <v>24</v>
      </c>
    </row>
    <row r="68" spans="5:10" x14ac:dyDescent="0.35">
      <c r="E68" s="69" t="s">
        <v>41</v>
      </c>
      <c r="F68" s="70" t="s">
        <v>42</v>
      </c>
      <c r="G68" s="22">
        <v>87</v>
      </c>
      <c r="H68" s="23" t="s">
        <v>47</v>
      </c>
    </row>
    <row r="69" spans="5:10" x14ac:dyDescent="0.35">
      <c r="E69" s="69" t="s">
        <v>43</v>
      </c>
      <c r="F69" s="70" t="s">
        <v>44</v>
      </c>
      <c r="G69" s="22">
        <v>3</v>
      </c>
      <c r="H69" s="23" t="s">
        <v>48</v>
      </c>
    </row>
    <row r="70" spans="5:10" ht="15" thickBot="1" x14ac:dyDescent="0.4">
      <c r="E70" s="72" t="s">
        <v>45</v>
      </c>
      <c r="F70" s="73" t="s">
        <v>46</v>
      </c>
      <c r="G70" s="22">
        <v>82</v>
      </c>
      <c r="H70" s="23" t="s">
        <v>50</v>
      </c>
    </row>
    <row r="71" spans="5:10" x14ac:dyDescent="0.35">
      <c r="G71" s="22">
        <v>83</v>
      </c>
      <c r="H71" s="23" t="s">
        <v>49</v>
      </c>
    </row>
    <row r="72" spans="5:10" x14ac:dyDescent="0.35">
      <c r="G72" s="22">
        <v>42</v>
      </c>
      <c r="H72" s="23" t="s">
        <v>51</v>
      </c>
    </row>
    <row r="73" spans="5:10" x14ac:dyDescent="0.35">
      <c r="G73" s="22">
        <v>112</v>
      </c>
      <c r="H73" s="23" t="s">
        <v>66</v>
      </c>
    </row>
    <row r="74" spans="5:10" ht="15" thickBot="1" x14ac:dyDescent="0.4">
      <c r="G74" s="25">
        <v>113</v>
      </c>
      <c r="H74" s="26" t="s">
        <v>67</v>
      </c>
    </row>
    <row r="100" spans="1:10" x14ac:dyDescent="0.35">
      <c r="A100" s="265" t="s">
        <v>228</v>
      </c>
      <c r="B100" s="265" t="s">
        <v>206</v>
      </c>
      <c r="C100" s="265" t="s">
        <v>229</v>
      </c>
      <c r="D100" s="265" t="s">
        <v>142</v>
      </c>
      <c r="E100" s="265" t="s">
        <v>147</v>
      </c>
      <c r="F100" s="265" t="s">
        <v>225</v>
      </c>
      <c r="G100" s="265" t="s">
        <v>207</v>
      </c>
      <c r="H100" s="265" t="s">
        <v>231</v>
      </c>
      <c r="I100" s="265" t="s">
        <v>213</v>
      </c>
      <c r="J100" s="266" t="s">
        <v>215</v>
      </c>
    </row>
    <row r="101" spans="1:10" x14ac:dyDescent="0.35">
      <c r="A101" s="255" t="s">
        <v>212</v>
      </c>
      <c r="B101" s="257">
        <f>COUNTIF($D$2:$I$49,"&gt;=2,5")-COUNTIF($D$2:$I$49,"&gt;7,4")</f>
        <v>7</v>
      </c>
      <c r="C101" s="257">
        <v>5</v>
      </c>
      <c r="D101" s="257"/>
      <c r="E101" s="257">
        <f>(B101*10000)/625</f>
        <v>112</v>
      </c>
      <c r="F101" s="258">
        <f>(PI()/4)*(C101/100)^2</f>
        <v>1.9634954084936209E-3</v>
      </c>
      <c r="G101" s="258">
        <f>E101*F101</f>
        <v>0.21991148575128555</v>
      </c>
      <c r="H101" s="257"/>
      <c r="I101" s="257"/>
      <c r="J101" s="257"/>
    </row>
    <row r="102" spans="1:10" x14ac:dyDescent="0.35">
      <c r="A102" s="255" t="s">
        <v>211</v>
      </c>
      <c r="B102" s="257">
        <f>COUNTIF($D$2:$I$49,"&gt;=7,5")-COUNTIF($D$2:$I$49,"&gt;12,4")</f>
        <v>10</v>
      </c>
      <c r="C102" s="257">
        <v>10</v>
      </c>
      <c r="D102" s="257"/>
      <c r="E102" s="257">
        <f t="shared" ref="E102:E108" si="1">(B102*10000)/625</f>
        <v>160</v>
      </c>
      <c r="F102" s="258">
        <f t="shared" ref="F102:F108" si="2">(PI()/4)*(C102/100)^2</f>
        <v>7.8539816339744835E-3</v>
      </c>
      <c r="G102" s="258">
        <f t="shared" ref="G102:G108" si="3">E102*F102</f>
        <v>1.2566370614359172</v>
      </c>
      <c r="H102" s="257"/>
      <c r="I102" s="257"/>
      <c r="J102" s="257"/>
    </row>
    <row r="103" spans="1:10" x14ac:dyDescent="0.35">
      <c r="A103" s="255" t="s">
        <v>209</v>
      </c>
      <c r="B103" s="257">
        <f>COUNTIF($D$2:$I$49,"&gt;=12,5")-COUNTIF($D$2:$I$49,"&gt;17,4")</f>
        <v>17</v>
      </c>
      <c r="C103" s="257">
        <v>15</v>
      </c>
      <c r="D103" s="257"/>
      <c r="E103" s="257">
        <f t="shared" si="1"/>
        <v>272</v>
      </c>
      <c r="F103" s="258">
        <f t="shared" si="2"/>
        <v>1.7671458676442587E-2</v>
      </c>
      <c r="G103" s="258">
        <f t="shared" si="3"/>
        <v>4.8066367599923838</v>
      </c>
      <c r="H103" s="257"/>
      <c r="I103" s="257"/>
      <c r="J103" s="257"/>
    </row>
    <row r="104" spans="1:10" x14ac:dyDescent="0.35">
      <c r="A104" s="255" t="s">
        <v>208</v>
      </c>
      <c r="B104" s="257">
        <f>COUNTIF($D$2:$I$49,"&gt;=17,5")-COUNTIF($D$2:$I$49,"&gt;22,4")</f>
        <v>23</v>
      </c>
      <c r="C104" s="257">
        <v>20</v>
      </c>
      <c r="D104" s="257"/>
      <c r="E104" s="257">
        <f t="shared" si="1"/>
        <v>368</v>
      </c>
      <c r="F104" s="258">
        <f t="shared" si="2"/>
        <v>3.1415926535897934E-2</v>
      </c>
      <c r="G104" s="258">
        <f t="shared" si="3"/>
        <v>11.561060965210439</v>
      </c>
      <c r="H104" s="257"/>
      <c r="I104" s="257"/>
      <c r="J104" s="257"/>
    </row>
    <row r="105" spans="1:10" x14ac:dyDescent="0.35">
      <c r="A105" s="255" t="s">
        <v>210</v>
      </c>
      <c r="B105" s="257">
        <f>COUNTIF($D$2:$I$49,"&gt;=22,5")-COUNTIF($D$2:$I$49,"&gt;27,4")</f>
        <v>1</v>
      </c>
      <c r="C105" s="257">
        <v>25</v>
      </c>
      <c r="D105" s="257"/>
      <c r="E105" s="257">
        <f t="shared" si="1"/>
        <v>16</v>
      </c>
      <c r="F105" s="258">
        <f t="shared" si="2"/>
        <v>4.9087385212340517E-2</v>
      </c>
      <c r="G105" s="258">
        <f t="shared" si="3"/>
        <v>0.78539816339744828</v>
      </c>
      <c r="H105" s="257"/>
      <c r="I105" s="257"/>
      <c r="J105" s="257"/>
    </row>
    <row r="106" spans="1:10" x14ac:dyDescent="0.35">
      <c r="A106" s="255" t="s">
        <v>221</v>
      </c>
      <c r="B106" s="257">
        <f>COUNTIF($D$2:$I$49,"&gt;=27,5")-COUNTIF($D$2:$I$49,"&gt;32,4")</f>
        <v>1</v>
      </c>
      <c r="C106" s="257">
        <v>30</v>
      </c>
      <c r="D106" s="257"/>
      <c r="E106" s="257">
        <f t="shared" si="1"/>
        <v>16</v>
      </c>
      <c r="F106" s="258">
        <f t="shared" si="2"/>
        <v>7.0685834705770348E-2</v>
      </c>
      <c r="G106" s="258">
        <f t="shared" si="3"/>
        <v>1.1309733552923256</v>
      </c>
      <c r="H106" s="257"/>
      <c r="I106" s="257"/>
      <c r="J106" s="257"/>
    </row>
    <row r="107" spans="1:10" x14ac:dyDescent="0.35">
      <c r="A107" s="255" t="s">
        <v>222</v>
      </c>
      <c r="B107" s="257">
        <f>COUNTIF($D$2:$I$49,"&gt;=32,5")-COUNTIF($D$2:$I$49,"&gt;37,4")</f>
        <v>0</v>
      </c>
      <c r="C107" s="257">
        <v>35</v>
      </c>
      <c r="D107" s="257"/>
      <c r="E107" s="257">
        <f t="shared" si="1"/>
        <v>0</v>
      </c>
      <c r="F107" s="258">
        <f t="shared" si="2"/>
        <v>9.6211275016187398E-2</v>
      </c>
      <c r="G107" s="258">
        <f t="shared" si="3"/>
        <v>0</v>
      </c>
      <c r="H107" s="257"/>
      <c r="I107" s="257"/>
      <c r="J107" s="257"/>
    </row>
    <row r="108" spans="1:10" x14ac:dyDescent="0.35">
      <c r="A108" s="255" t="s">
        <v>223</v>
      </c>
      <c r="B108" s="257">
        <f>COUNTIF($D$2:$I$49,"&gt;=37,5")-COUNTIF($D$2:$I$49,"&gt;42,4")</f>
        <v>0</v>
      </c>
      <c r="C108" s="257">
        <v>40</v>
      </c>
      <c r="D108" s="257"/>
      <c r="E108" s="257">
        <f t="shared" si="1"/>
        <v>0</v>
      </c>
      <c r="F108" s="258">
        <f t="shared" si="2"/>
        <v>0.12566370614359174</v>
      </c>
      <c r="G108" s="258">
        <f t="shared" si="3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SUBTOTAL(109,Tabla25[NÚMERO DE PIES])</f>
        <v>59</v>
      </c>
      <c r="C109" s="268">
        <f>SUBTOTAL(103,Tabla25[CLASE DIAMETRICA])</f>
        <v>8</v>
      </c>
      <c r="D109" s="268"/>
      <c r="E109" s="268">
        <f>SUBTOTAL(109,Tabla25[pies/ha])</f>
        <v>944</v>
      </c>
      <c r="F109" s="264">
        <f>SUBTOTAL(101,Tabla25[gn (m2)])</f>
        <v>5.0069132916587329E-2</v>
      </c>
      <c r="G109" s="264">
        <f>SUBTOTAL(109,Tabla25[G (m2/ha.)])</f>
        <v>19.760617791079799</v>
      </c>
      <c r="H109" s="268"/>
      <c r="I109" s="268"/>
      <c r="J109" s="268">
        <f>SUBTOTAL(103,Tabla25[AB (m2) final])</f>
        <v>0</v>
      </c>
    </row>
  </sheetData>
  <mergeCells count="2">
    <mergeCell ref="A59:K59"/>
    <mergeCell ref="A57:K57"/>
  </mergeCells>
  <pageMargins left="0.7" right="0.7" top="0.75" bottom="0.75" header="0.3" footer="0.3"/>
  <pageSetup paperSize="8" scale="66" fitToHeight="0" orientation="portrait" r:id="rId1"/>
  <headerFooter>
    <oddHeader>&amp;C
Parcela &amp;"-,Negrita"&amp;K09+000B6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53" zoomScale="110" zoomScaleNormal="75" zoomScalePageLayoutView="110" workbookViewId="0">
      <selection activeCell="E110" sqref="E110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90625" customWidth="1"/>
    <col min="7" max="7" width="15" customWidth="1"/>
    <col min="8" max="8" width="13.90625" customWidth="1"/>
    <col min="9" max="9" width="15.26953125" customWidth="1"/>
    <col min="10" max="10" width="12.54296875" customWidth="1"/>
  </cols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s="2" t="s">
        <v>8</v>
      </c>
      <c r="F1" s="2" t="s">
        <v>7</v>
      </c>
      <c r="G1" s="2" t="s">
        <v>141</v>
      </c>
      <c r="H1" s="2" t="s">
        <v>9</v>
      </c>
      <c r="I1" s="33" t="s">
        <v>195</v>
      </c>
      <c r="J1" s="33" t="s">
        <v>240</v>
      </c>
      <c r="K1" s="33" t="s">
        <v>145</v>
      </c>
      <c r="L1" t="s">
        <v>4</v>
      </c>
      <c r="M1" t="s">
        <v>21</v>
      </c>
    </row>
    <row r="2" spans="1:13" x14ac:dyDescent="0.35">
      <c r="A2" s="176">
        <v>1</v>
      </c>
      <c r="B2" s="137">
        <v>125</v>
      </c>
      <c r="C2" s="137">
        <v>5</v>
      </c>
      <c r="D2" s="137">
        <v>11</v>
      </c>
      <c r="E2" s="137"/>
      <c r="F2" s="138"/>
      <c r="G2" s="138"/>
      <c r="H2" s="138"/>
      <c r="I2" s="138"/>
      <c r="J2" s="241">
        <f t="shared" ref="J2:J34" si="0">PI()*(((C2)/2)/100)^2+PI()*(((D2)/2)/100)^2+PI()*(((E2)/2)/100)^2+PI()*(((F2)/2)/100)^2+PI()*(((G2)/2)/100)^2+PI()*(((H2)/2)/100)^2</f>
        <v>1.1466813185602744E-2</v>
      </c>
      <c r="K2" s="241"/>
      <c r="L2" s="137" t="s">
        <v>5</v>
      </c>
      <c r="M2" s="177"/>
    </row>
    <row r="3" spans="1:13" x14ac:dyDescent="0.35">
      <c r="A3" s="176">
        <v>2</v>
      </c>
      <c r="B3" s="137">
        <v>112</v>
      </c>
      <c r="C3" s="137">
        <v>1.6</v>
      </c>
      <c r="D3" s="137">
        <v>5</v>
      </c>
      <c r="E3" s="137"/>
      <c r="F3" s="138"/>
      <c r="G3" s="138"/>
      <c r="H3" s="138"/>
      <c r="I3" s="138"/>
      <c r="J3" s="241">
        <f t="shared" si="0"/>
        <v>2.1645573383233677E-3</v>
      </c>
      <c r="K3" s="241"/>
      <c r="L3" s="137" t="s">
        <v>6</v>
      </c>
      <c r="M3" s="177"/>
    </row>
    <row r="4" spans="1:13" x14ac:dyDescent="0.35">
      <c r="A4" s="176">
        <v>3</v>
      </c>
      <c r="B4" s="137">
        <v>125</v>
      </c>
      <c r="C4" s="137">
        <v>3.5</v>
      </c>
      <c r="D4" s="137">
        <v>5</v>
      </c>
      <c r="E4" s="137"/>
      <c r="F4" s="138"/>
      <c r="G4" s="138"/>
      <c r="H4" s="138"/>
      <c r="I4" s="138"/>
      <c r="J4" s="241">
        <f t="shared" si="0"/>
        <v>2.9256081586554951E-3</v>
      </c>
      <c r="K4" s="241"/>
      <c r="L4" s="137" t="s">
        <v>6</v>
      </c>
      <c r="M4" s="177"/>
    </row>
    <row r="5" spans="1:13" x14ac:dyDescent="0.35">
      <c r="A5" s="176">
        <v>4</v>
      </c>
      <c r="B5" s="137">
        <v>125</v>
      </c>
      <c r="C5" s="137">
        <v>4.8</v>
      </c>
      <c r="D5" s="137"/>
      <c r="E5" s="137">
        <v>8</v>
      </c>
      <c r="F5" s="138">
        <v>11</v>
      </c>
      <c r="G5" s="138"/>
      <c r="H5" s="138"/>
      <c r="I5" s="138"/>
      <c r="J5" s="241">
        <f t="shared" si="0"/>
        <v>1.6339423391320513E-2</v>
      </c>
      <c r="K5" s="241"/>
      <c r="L5" s="137" t="s">
        <v>5</v>
      </c>
      <c r="M5" s="177"/>
    </row>
    <row r="6" spans="1:13" x14ac:dyDescent="0.35">
      <c r="A6" s="176">
        <v>5</v>
      </c>
      <c r="B6" s="137">
        <v>112</v>
      </c>
      <c r="C6" s="137">
        <v>1.7</v>
      </c>
      <c r="D6" s="137">
        <v>6</v>
      </c>
      <c r="E6" s="137"/>
      <c r="F6" s="138"/>
      <c r="G6" s="138"/>
      <c r="H6" s="138"/>
      <c r="I6" s="138"/>
      <c r="J6" s="241">
        <f t="shared" si="0"/>
        <v>3.0544134574526762E-3</v>
      </c>
      <c r="K6" s="241"/>
      <c r="L6" s="137" t="s">
        <v>6</v>
      </c>
      <c r="M6" s="177"/>
    </row>
    <row r="7" spans="1:13" x14ac:dyDescent="0.35">
      <c r="A7" s="176">
        <v>6</v>
      </c>
      <c r="B7" s="137">
        <v>125</v>
      </c>
      <c r="C7" s="137">
        <v>5.5</v>
      </c>
      <c r="D7" s="137">
        <v>20</v>
      </c>
      <c r="E7" s="137"/>
      <c r="F7" s="138"/>
      <c r="G7" s="138"/>
      <c r="H7" s="138"/>
      <c r="I7" s="138"/>
      <c r="J7" s="241">
        <f t="shared" si="0"/>
        <v>3.3791755980175212E-2</v>
      </c>
      <c r="K7" s="241"/>
      <c r="L7" s="137" t="s">
        <v>10</v>
      </c>
      <c r="M7" s="177"/>
    </row>
    <row r="8" spans="1:13" x14ac:dyDescent="0.35">
      <c r="A8" s="176">
        <v>7</v>
      </c>
      <c r="B8" s="137">
        <v>125</v>
      </c>
      <c r="C8" s="137">
        <v>5</v>
      </c>
      <c r="D8" s="137">
        <v>12</v>
      </c>
      <c r="E8" s="137"/>
      <c r="F8" s="138"/>
      <c r="G8" s="138"/>
      <c r="H8" s="138"/>
      <c r="I8" s="138"/>
      <c r="J8" s="241">
        <f t="shared" si="0"/>
        <v>1.3273228961416875E-2</v>
      </c>
      <c r="K8" s="241"/>
      <c r="L8" s="137" t="s">
        <v>5</v>
      </c>
      <c r="M8" s="177"/>
    </row>
    <row r="9" spans="1:13" x14ac:dyDescent="0.35">
      <c r="A9" s="176">
        <v>8</v>
      </c>
      <c r="B9" s="137">
        <v>125</v>
      </c>
      <c r="C9" s="137">
        <v>3</v>
      </c>
      <c r="D9" s="137"/>
      <c r="E9" s="137">
        <v>7</v>
      </c>
      <c r="F9" s="138">
        <v>7</v>
      </c>
      <c r="G9" s="138">
        <v>9</v>
      </c>
      <c r="H9" s="138">
        <v>6.5</v>
      </c>
      <c r="I9" s="138"/>
      <c r="J9" s="241">
        <f t="shared" si="0"/>
        <v>1.8083792712226248E-2</v>
      </c>
      <c r="K9" s="241"/>
      <c r="L9" s="137" t="s">
        <v>5</v>
      </c>
      <c r="M9" s="177"/>
    </row>
    <row r="10" spans="1:13" x14ac:dyDescent="0.35">
      <c r="A10" s="176">
        <v>9</v>
      </c>
      <c r="B10" s="137">
        <v>125</v>
      </c>
      <c r="C10" s="137">
        <v>6</v>
      </c>
      <c r="D10" s="137"/>
      <c r="E10" s="137">
        <v>10</v>
      </c>
      <c r="F10" s="138">
        <v>8</v>
      </c>
      <c r="G10" s="138">
        <v>12</v>
      </c>
      <c r="H10" s="138"/>
      <c r="I10" s="138"/>
      <c r="J10" s="241">
        <f t="shared" si="0"/>
        <v>2.7017696820872222E-2</v>
      </c>
      <c r="K10" s="241"/>
      <c r="L10" s="137" t="s">
        <v>6</v>
      </c>
      <c r="M10" s="177" t="s">
        <v>11</v>
      </c>
    </row>
    <row r="11" spans="1:13" x14ac:dyDescent="0.35">
      <c r="A11" s="176">
        <v>10</v>
      </c>
      <c r="B11" s="137">
        <v>125</v>
      </c>
      <c r="C11" s="137">
        <v>8</v>
      </c>
      <c r="D11" s="137">
        <v>25</v>
      </c>
      <c r="E11" s="137"/>
      <c r="F11" s="138"/>
      <c r="G11" s="138"/>
      <c r="H11" s="138"/>
      <c r="I11" s="138"/>
      <c r="J11" s="241">
        <f t="shared" si="0"/>
        <v>5.4113933458084185E-2</v>
      </c>
      <c r="K11" s="241"/>
      <c r="L11" s="137" t="s">
        <v>12</v>
      </c>
      <c r="M11" s="177"/>
    </row>
    <row r="12" spans="1:13" x14ac:dyDescent="0.35">
      <c r="A12" s="176">
        <v>11</v>
      </c>
      <c r="B12" s="137">
        <v>125</v>
      </c>
      <c r="C12" s="137">
        <v>7</v>
      </c>
      <c r="D12" s="137">
        <v>20</v>
      </c>
      <c r="E12" s="137"/>
      <c r="F12" s="138"/>
      <c r="G12" s="138"/>
      <c r="H12" s="138"/>
      <c r="I12" s="138"/>
      <c r="J12" s="241">
        <f t="shared" si="0"/>
        <v>3.5264377536545433E-2</v>
      </c>
      <c r="K12" s="241"/>
      <c r="L12" s="137" t="s">
        <v>13</v>
      </c>
      <c r="M12" s="177"/>
    </row>
    <row r="13" spans="1:13" x14ac:dyDescent="0.35">
      <c r="A13" s="176">
        <v>12</v>
      </c>
      <c r="B13" s="137">
        <v>125</v>
      </c>
      <c r="C13" s="137">
        <v>3.5</v>
      </c>
      <c r="D13" s="137">
        <v>7</v>
      </c>
      <c r="E13" s="137"/>
      <c r="F13" s="138"/>
      <c r="G13" s="138"/>
      <c r="H13" s="138"/>
      <c r="I13" s="138"/>
      <c r="J13" s="241">
        <f t="shared" si="0"/>
        <v>4.8105637508093716E-3</v>
      </c>
      <c r="K13" s="241"/>
      <c r="L13" s="137" t="s">
        <v>5</v>
      </c>
      <c r="M13" s="177"/>
    </row>
    <row r="14" spans="1:13" x14ac:dyDescent="0.35">
      <c r="A14" s="176">
        <v>13</v>
      </c>
      <c r="B14" s="137">
        <v>125</v>
      </c>
      <c r="C14" s="137">
        <v>6.5</v>
      </c>
      <c r="D14" s="137"/>
      <c r="E14" s="137">
        <v>14</v>
      </c>
      <c r="F14" s="138">
        <v>17</v>
      </c>
      <c r="G14" s="138"/>
      <c r="H14" s="138"/>
      <c r="I14" s="138"/>
      <c r="J14" s="241">
        <f t="shared" si="0"/>
        <v>4.1410118165130468E-2</v>
      </c>
      <c r="K14" s="241"/>
      <c r="L14" s="137" t="s">
        <v>12</v>
      </c>
      <c r="M14" s="177"/>
    </row>
    <row r="15" spans="1:13" x14ac:dyDescent="0.35">
      <c r="A15" s="176">
        <v>14</v>
      </c>
      <c r="B15" s="137">
        <v>125</v>
      </c>
      <c r="C15" s="137">
        <v>7</v>
      </c>
      <c r="D15" s="137">
        <v>18</v>
      </c>
      <c r="E15" s="137"/>
      <c r="F15" s="138"/>
      <c r="G15" s="138"/>
      <c r="H15" s="138"/>
      <c r="I15" s="138"/>
      <c r="J15" s="241">
        <f t="shared" si="0"/>
        <v>2.9295351494724821E-2</v>
      </c>
      <c r="K15" s="241"/>
      <c r="L15" s="137" t="s">
        <v>12</v>
      </c>
      <c r="M15" s="177"/>
    </row>
    <row r="16" spans="1:13" x14ac:dyDescent="0.35">
      <c r="A16" s="176">
        <v>15</v>
      </c>
      <c r="B16" s="137">
        <v>125</v>
      </c>
      <c r="C16" s="137">
        <v>3</v>
      </c>
      <c r="D16" s="137">
        <v>5</v>
      </c>
      <c r="E16" s="137"/>
      <c r="F16" s="138"/>
      <c r="G16" s="138"/>
      <c r="H16" s="138"/>
      <c r="I16" s="138"/>
      <c r="J16" s="241">
        <f t="shared" si="0"/>
        <v>2.6703537555513241E-3</v>
      </c>
      <c r="K16" s="241"/>
      <c r="L16" s="137" t="s">
        <v>5</v>
      </c>
      <c r="M16" s="177"/>
    </row>
    <row r="17" spans="1:13" x14ac:dyDescent="0.35">
      <c r="A17" s="176">
        <v>16</v>
      </c>
      <c r="B17" s="137">
        <v>125</v>
      </c>
      <c r="C17" s="137">
        <v>6</v>
      </c>
      <c r="D17" s="137">
        <v>11</v>
      </c>
      <c r="E17" s="137"/>
      <c r="F17" s="138"/>
      <c r="G17" s="138"/>
      <c r="H17" s="138"/>
      <c r="I17" s="138"/>
      <c r="J17" s="241">
        <f t="shared" si="0"/>
        <v>1.2330751165339937E-2</v>
      </c>
      <c r="K17" s="241"/>
      <c r="L17" s="137" t="s">
        <v>10</v>
      </c>
      <c r="M17" s="177"/>
    </row>
    <row r="18" spans="1:13" x14ac:dyDescent="0.35">
      <c r="A18" s="176">
        <v>17</v>
      </c>
      <c r="B18" s="137">
        <v>125</v>
      </c>
      <c r="C18" s="137">
        <v>6.5</v>
      </c>
      <c r="D18" s="137"/>
      <c r="E18" s="137">
        <v>14</v>
      </c>
      <c r="F18" s="138">
        <v>17</v>
      </c>
      <c r="G18" s="138"/>
      <c r="H18" s="138"/>
      <c r="I18" s="138"/>
      <c r="J18" s="241">
        <f t="shared" si="0"/>
        <v>4.1410118165130468E-2</v>
      </c>
      <c r="K18" s="241"/>
      <c r="L18" s="137" t="s">
        <v>13</v>
      </c>
      <c r="M18" s="177"/>
    </row>
    <row r="19" spans="1:13" x14ac:dyDescent="0.35">
      <c r="A19" s="176">
        <v>18</v>
      </c>
      <c r="B19" s="137">
        <v>125</v>
      </c>
      <c r="C19" s="137">
        <v>7.5</v>
      </c>
      <c r="D19" s="137">
        <v>16</v>
      </c>
      <c r="E19" s="137"/>
      <c r="F19" s="138"/>
      <c r="G19" s="138"/>
      <c r="H19" s="138"/>
      <c r="I19" s="138"/>
      <c r="J19" s="241">
        <f t="shared" si="0"/>
        <v>2.4524057652085322E-2</v>
      </c>
      <c r="K19" s="241"/>
      <c r="L19" s="137" t="s">
        <v>12</v>
      </c>
      <c r="M19" s="177"/>
    </row>
    <row r="20" spans="1:13" x14ac:dyDescent="0.35">
      <c r="A20" s="176">
        <v>19</v>
      </c>
      <c r="B20" s="137">
        <v>125</v>
      </c>
      <c r="C20" s="137">
        <v>7</v>
      </c>
      <c r="D20" s="137">
        <v>16</v>
      </c>
      <c r="E20" s="137"/>
      <c r="F20" s="138"/>
      <c r="G20" s="138"/>
      <c r="H20" s="138"/>
      <c r="I20" s="138"/>
      <c r="J20" s="241">
        <f t="shared" si="0"/>
        <v>2.3954643983622174E-2</v>
      </c>
      <c r="K20" s="241"/>
      <c r="L20" s="137" t="s">
        <v>13</v>
      </c>
      <c r="M20" s="177"/>
    </row>
    <row r="21" spans="1:13" x14ac:dyDescent="0.35">
      <c r="A21" s="176">
        <v>20</v>
      </c>
      <c r="B21" s="137">
        <v>125</v>
      </c>
      <c r="C21" s="137">
        <v>6.5</v>
      </c>
      <c r="D21" s="137"/>
      <c r="E21" s="137">
        <v>11</v>
      </c>
      <c r="F21" s="138">
        <v>11</v>
      </c>
      <c r="G21" s="138"/>
      <c r="H21" s="138"/>
      <c r="I21" s="138"/>
      <c r="J21" s="241">
        <f t="shared" si="0"/>
        <v>2.2324942794572467E-2</v>
      </c>
      <c r="K21" s="241"/>
      <c r="L21" s="137" t="s">
        <v>13</v>
      </c>
      <c r="M21" s="177"/>
    </row>
    <row r="22" spans="1:13" x14ac:dyDescent="0.35">
      <c r="A22" s="176">
        <v>21</v>
      </c>
      <c r="B22" s="137">
        <v>125</v>
      </c>
      <c r="C22" s="137">
        <v>7</v>
      </c>
      <c r="D22" s="137">
        <v>15</v>
      </c>
      <c r="E22" s="137"/>
      <c r="F22" s="138"/>
      <c r="G22" s="138"/>
      <c r="H22" s="138"/>
      <c r="I22" s="138"/>
      <c r="J22" s="241">
        <f t="shared" si="0"/>
        <v>2.1519909677090082E-2</v>
      </c>
      <c r="K22" s="241"/>
      <c r="L22" s="137" t="s">
        <v>10</v>
      </c>
      <c r="M22" s="177"/>
    </row>
    <row r="23" spans="1:13" x14ac:dyDescent="0.35">
      <c r="A23" s="176">
        <v>22</v>
      </c>
      <c r="B23" s="137">
        <v>125</v>
      </c>
      <c r="C23" s="137">
        <v>6</v>
      </c>
      <c r="D23" s="137">
        <v>13</v>
      </c>
      <c r="E23" s="137"/>
      <c r="F23" s="138"/>
      <c r="G23" s="138"/>
      <c r="H23" s="138"/>
      <c r="I23" s="138"/>
      <c r="J23" s="241">
        <f t="shared" si="0"/>
        <v>1.6100662349647691E-2</v>
      </c>
      <c r="K23" s="241"/>
      <c r="L23" s="137" t="s">
        <v>10</v>
      </c>
      <c r="M23" s="177"/>
    </row>
    <row r="24" spans="1:13" x14ac:dyDescent="0.35">
      <c r="A24" s="176">
        <v>23</v>
      </c>
      <c r="B24" s="137">
        <v>112</v>
      </c>
      <c r="C24" s="137">
        <v>1.7</v>
      </c>
      <c r="D24" s="137">
        <v>6</v>
      </c>
      <c r="E24" s="137"/>
      <c r="F24" s="138"/>
      <c r="G24" s="138"/>
      <c r="H24" s="138"/>
      <c r="I24" s="138"/>
      <c r="J24" s="241">
        <f t="shared" si="0"/>
        <v>3.0544134574526762E-3</v>
      </c>
      <c r="K24" s="241"/>
      <c r="L24" s="137" t="s">
        <v>6</v>
      </c>
      <c r="M24" s="177"/>
    </row>
    <row r="25" spans="1:13" x14ac:dyDescent="0.35">
      <c r="A25" s="176">
        <v>24</v>
      </c>
      <c r="B25" s="137">
        <v>125</v>
      </c>
      <c r="C25" s="137">
        <v>7.5</v>
      </c>
      <c r="D25" s="137">
        <v>19</v>
      </c>
      <c r="E25" s="137"/>
      <c r="F25" s="138"/>
      <c r="G25" s="138"/>
      <c r="H25" s="138"/>
      <c r="I25" s="138"/>
      <c r="J25" s="241">
        <f t="shared" si="0"/>
        <v>3.2770738367758533E-2</v>
      </c>
      <c r="K25" s="241"/>
      <c r="L25" s="137" t="s">
        <v>12</v>
      </c>
      <c r="M25" s="177"/>
    </row>
    <row r="26" spans="1:13" x14ac:dyDescent="0.35">
      <c r="A26" s="176">
        <v>25</v>
      </c>
      <c r="B26" s="137">
        <v>125</v>
      </c>
      <c r="C26" s="137">
        <v>6</v>
      </c>
      <c r="D26" s="137">
        <v>14</v>
      </c>
      <c r="E26" s="137"/>
      <c r="F26" s="138"/>
      <c r="G26" s="138"/>
      <c r="H26" s="138"/>
      <c r="I26" s="138"/>
      <c r="J26" s="241">
        <f t="shared" si="0"/>
        <v>1.8221237390820801E-2</v>
      </c>
      <c r="K26" s="241"/>
      <c r="L26" s="137" t="s">
        <v>10</v>
      </c>
      <c r="M26" s="177"/>
    </row>
    <row r="27" spans="1:13" x14ac:dyDescent="0.35">
      <c r="A27" s="176">
        <v>26</v>
      </c>
      <c r="B27" s="137">
        <v>125</v>
      </c>
      <c r="C27" s="137">
        <v>6</v>
      </c>
      <c r="D27" s="137"/>
      <c r="E27" s="137">
        <v>10</v>
      </c>
      <c r="F27" s="138">
        <v>10</v>
      </c>
      <c r="G27" s="138">
        <v>13</v>
      </c>
      <c r="H27" s="138"/>
      <c r="I27" s="138"/>
      <c r="J27" s="241">
        <f t="shared" si="0"/>
        <v>3.1808625617596661E-2</v>
      </c>
      <c r="K27" s="241"/>
      <c r="L27" s="137" t="s">
        <v>13</v>
      </c>
      <c r="M27" s="177"/>
    </row>
    <row r="28" spans="1:13" x14ac:dyDescent="0.35">
      <c r="A28" s="176">
        <v>27</v>
      </c>
      <c r="B28" s="137">
        <v>130</v>
      </c>
      <c r="C28" s="137">
        <v>6</v>
      </c>
      <c r="D28" s="137">
        <v>19</v>
      </c>
      <c r="E28" s="137"/>
      <c r="F28" s="138"/>
      <c r="G28" s="138"/>
      <c r="H28" s="138"/>
      <c r="I28" s="138"/>
      <c r="J28" s="241">
        <f t="shared" si="0"/>
        <v>3.1180307086878696E-2</v>
      </c>
      <c r="K28" s="241"/>
      <c r="L28" s="137" t="s">
        <v>13</v>
      </c>
      <c r="M28" s="177"/>
    </row>
    <row r="29" spans="1:13" x14ac:dyDescent="0.35">
      <c r="A29" s="176">
        <v>28</v>
      </c>
      <c r="B29" s="137">
        <v>125</v>
      </c>
      <c r="C29" s="137">
        <v>7.5</v>
      </c>
      <c r="D29" s="137">
        <v>22</v>
      </c>
      <c r="E29" s="137"/>
      <c r="F29" s="138"/>
      <c r="G29" s="138"/>
      <c r="H29" s="138"/>
      <c r="I29" s="138"/>
      <c r="J29" s="241">
        <f t="shared" si="0"/>
        <v>4.2431135777547146E-2</v>
      </c>
      <c r="K29" s="241"/>
      <c r="L29" s="137" t="s">
        <v>12</v>
      </c>
      <c r="M29" s="177"/>
    </row>
    <row r="30" spans="1:13" x14ac:dyDescent="0.35">
      <c r="A30" s="176">
        <v>29</v>
      </c>
      <c r="B30" s="137">
        <v>125</v>
      </c>
      <c r="C30" s="137">
        <v>6</v>
      </c>
      <c r="D30" s="137"/>
      <c r="E30" s="137">
        <v>18</v>
      </c>
      <c r="F30" s="138">
        <v>15</v>
      </c>
      <c r="G30" s="138"/>
      <c r="H30" s="138"/>
      <c r="I30" s="138"/>
      <c r="J30" s="241">
        <f t="shared" si="0"/>
        <v>4.5945792558750725E-2</v>
      </c>
      <c r="K30" s="241"/>
      <c r="L30" s="137" t="s">
        <v>13</v>
      </c>
      <c r="M30" s="177"/>
    </row>
    <row r="31" spans="1:13" x14ac:dyDescent="0.35">
      <c r="A31" s="176">
        <v>30</v>
      </c>
      <c r="B31" s="137">
        <v>125</v>
      </c>
      <c r="C31" s="137">
        <v>5</v>
      </c>
      <c r="D31" s="137"/>
      <c r="E31" s="137">
        <v>17</v>
      </c>
      <c r="F31" s="138">
        <v>5</v>
      </c>
      <c r="G31" s="138"/>
      <c r="H31" s="138"/>
      <c r="I31" s="138"/>
      <c r="J31" s="241">
        <f t="shared" si="0"/>
        <v>2.6624997739173501E-2</v>
      </c>
      <c r="K31" s="241"/>
      <c r="L31" s="137" t="s">
        <v>13</v>
      </c>
      <c r="M31" s="177"/>
    </row>
    <row r="32" spans="1:13" x14ac:dyDescent="0.35">
      <c r="A32" s="176">
        <v>31</v>
      </c>
      <c r="B32" s="137">
        <v>125</v>
      </c>
      <c r="C32" s="137">
        <v>5.5</v>
      </c>
      <c r="D32" s="137">
        <v>15</v>
      </c>
      <c r="E32" s="137"/>
      <c r="F32" s="138"/>
      <c r="G32" s="138"/>
      <c r="H32" s="138"/>
      <c r="I32" s="138"/>
      <c r="J32" s="241">
        <f t="shared" si="0"/>
        <v>2.0047288120719868E-2</v>
      </c>
      <c r="K32" s="241"/>
      <c r="L32" s="137" t="s">
        <v>13</v>
      </c>
      <c r="M32" s="177"/>
    </row>
    <row r="33" spans="1:13" x14ac:dyDescent="0.35">
      <c r="A33" s="176">
        <v>32</v>
      </c>
      <c r="B33" s="137">
        <v>125</v>
      </c>
      <c r="C33" s="137">
        <v>5</v>
      </c>
      <c r="D33" s="137"/>
      <c r="E33" s="137">
        <v>4</v>
      </c>
      <c r="F33" s="138">
        <v>10</v>
      </c>
      <c r="G33" s="138"/>
      <c r="H33" s="138"/>
      <c r="I33" s="138"/>
      <c r="J33" s="241">
        <f t="shared" si="0"/>
        <v>1.1074114103904022E-2</v>
      </c>
      <c r="K33" s="241"/>
      <c r="L33" s="137" t="s">
        <v>10</v>
      </c>
      <c r="M33" s="177" t="s">
        <v>11</v>
      </c>
    </row>
    <row r="34" spans="1:13" ht="15" thickBot="1" x14ac:dyDescent="0.4">
      <c r="A34" s="178">
        <v>33</v>
      </c>
      <c r="B34" s="179">
        <v>125</v>
      </c>
      <c r="C34" s="179">
        <v>7</v>
      </c>
      <c r="D34" s="179"/>
      <c r="E34" s="179">
        <v>17</v>
      </c>
      <c r="F34" s="191">
        <v>15</v>
      </c>
      <c r="G34" s="191"/>
      <c r="H34" s="191"/>
      <c r="I34" s="191"/>
      <c r="J34" s="205">
        <f t="shared" si="0"/>
        <v>4.4217916599276347E-2</v>
      </c>
      <c r="K34" s="205"/>
      <c r="L34" s="179"/>
      <c r="M34" s="180"/>
    </row>
    <row r="35" spans="1:13" x14ac:dyDescent="0.35">
      <c r="A35" s="229">
        <f>SUBTOTAL(103,Tabla13[número de árboles])</f>
        <v>33</v>
      </c>
      <c r="B35" s="229" t="s">
        <v>146</v>
      </c>
      <c r="C35" s="239">
        <f>SUBTOTAL(101,Tabla13[altura])</f>
        <v>5.4787878787878794</v>
      </c>
      <c r="D35" s="330">
        <f>SUBTOTAL(101,Tabla13[diámetro])</f>
        <v>13.636363636363637</v>
      </c>
      <c r="E35" s="239">
        <f>SUBTOTAL(101,Tabla13[Hermanado1])</f>
        <v>11.818181818181818</v>
      </c>
      <c r="F35" s="308">
        <f>SUBTOTAL(101,Tabla13[Hermanado2])</f>
        <v>11.454545454545455</v>
      </c>
      <c r="G35" s="308">
        <f>SUBTOTAL(101,Tabla13[Hermanado3])</f>
        <v>11.333333333333334</v>
      </c>
      <c r="H35" s="308"/>
      <c r="I35" s="331"/>
      <c r="J35" s="331"/>
      <c r="K35" s="331"/>
      <c r="L35" s="59"/>
      <c r="M35" s="36">
        <f>SUBTOTAL(103,Tabla13[observaciones])</f>
        <v>2</v>
      </c>
    </row>
    <row r="36" spans="1:13" x14ac:dyDescent="0.35">
      <c r="A36" s="19" t="s">
        <v>53</v>
      </c>
    </row>
    <row r="37" spans="1:13" x14ac:dyDescent="0.35">
      <c r="A37" s="19"/>
    </row>
    <row r="38" spans="1:13" x14ac:dyDescent="0.35">
      <c r="A38" s="19" t="s">
        <v>54</v>
      </c>
    </row>
    <row r="39" spans="1:13" x14ac:dyDescent="0.35">
      <c r="A39" s="19"/>
    </row>
    <row r="41" spans="1:13" ht="15" thickBot="1" x14ac:dyDescent="0.4">
      <c r="A41" s="19" t="s">
        <v>64</v>
      </c>
    </row>
    <row r="42" spans="1:13" ht="15" thickBot="1" x14ac:dyDescent="0.4">
      <c r="A42" s="365" t="s">
        <v>14</v>
      </c>
      <c r="B42" s="366"/>
      <c r="C42" s="366"/>
      <c r="D42" s="366"/>
      <c r="E42" s="366"/>
      <c r="F42" s="366"/>
      <c r="G42" s="366"/>
      <c r="H42" s="366"/>
      <c r="I42" s="366"/>
      <c r="J42" s="367"/>
    </row>
    <row r="43" spans="1:13" ht="44.5" customHeight="1" thickBot="1" x14ac:dyDescent="0.4">
      <c r="A43" s="19" t="s">
        <v>63</v>
      </c>
    </row>
    <row r="44" spans="1:13" ht="15" thickBot="1" x14ac:dyDescent="0.4">
      <c r="A44" s="373" t="s">
        <v>125</v>
      </c>
      <c r="B44" s="374"/>
      <c r="C44" s="374"/>
      <c r="D44" s="374"/>
      <c r="E44" s="374"/>
      <c r="F44" s="374"/>
      <c r="G44" s="374"/>
      <c r="H44" s="374"/>
      <c r="I44" s="374"/>
      <c r="J44" s="375"/>
    </row>
    <row r="45" spans="1:13" ht="15" thickBot="1" x14ac:dyDescent="0.4"/>
    <row r="46" spans="1:13" ht="15" thickBot="1" x14ac:dyDescent="0.4">
      <c r="A46" t="s">
        <v>128</v>
      </c>
      <c r="B46">
        <f>COUNT(D2:I34)</f>
        <v>48</v>
      </c>
      <c r="C46">
        <f>25*25</f>
        <v>625</v>
      </c>
      <c r="E46" s="55" t="s">
        <v>29</v>
      </c>
      <c r="F46" s="56"/>
      <c r="G46" s="29" t="s">
        <v>65</v>
      </c>
      <c r="H46" s="30"/>
      <c r="I46" s="28" t="s">
        <v>4</v>
      </c>
      <c r="J46" s="30"/>
    </row>
    <row r="47" spans="1:13" ht="15" thickBot="1" x14ac:dyDescent="0.4">
      <c r="B47" s="19">
        <f>B46*C47/C46</f>
        <v>768</v>
      </c>
      <c r="C47">
        <v>10000</v>
      </c>
      <c r="E47" s="52" t="s">
        <v>30</v>
      </c>
      <c r="F47" s="53" t="s">
        <v>31</v>
      </c>
      <c r="G47" s="43">
        <v>125</v>
      </c>
      <c r="H47" s="21" t="s">
        <v>23</v>
      </c>
      <c r="I47" s="13" t="s">
        <v>6</v>
      </c>
      <c r="J47" s="14" t="s">
        <v>58</v>
      </c>
    </row>
    <row r="48" spans="1:13" ht="21.5" thickBot="1" x14ac:dyDescent="0.55000000000000004">
      <c r="A48" s="27" t="s">
        <v>68</v>
      </c>
      <c r="B48" s="49" t="s">
        <v>28</v>
      </c>
      <c r="C48" s="10" t="s">
        <v>52</v>
      </c>
      <c r="D48" s="51" t="s">
        <v>147</v>
      </c>
      <c r="E48" s="48" t="s">
        <v>32</v>
      </c>
      <c r="F48" s="46" t="s">
        <v>33</v>
      </c>
      <c r="G48" s="44">
        <v>130</v>
      </c>
      <c r="H48" s="23" t="s">
        <v>25</v>
      </c>
      <c r="I48" s="15" t="s">
        <v>5</v>
      </c>
      <c r="J48" s="16" t="s">
        <v>59</v>
      </c>
    </row>
    <row r="49" spans="1:10" ht="15" thickBot="1" x14ac:dyDescent="0.4">
      <c r="A49" s="10"/>
      <c r="B49" s="12">
        <v>2</v>
      </c>
      <c r="C49" s="12">
        <v>1</v>
      </c>
      <c r="D49" s="10">
        <f>B47</f>
        <v>768</v>
      </c>
      <c r="E49" s="48" t="s">
        <v>34</v>
      </c>
      <c r="F49" s="46" t="s">
        <v>35</v>
      </c>
      <c r="G49" s="44">
        <v>46</v>
      </c>
      <c r="H49" s="23" t="s">
        <v>26</v>
      </c>
      <c r="I49" s="15" t="s">
        <v>13</v>
      </c>
      <c r="J49" s="16" t="s">
        <v>60</v>
      </c>
    </row>
    <row r="50" spans="1:10" x14ac:dyDescent="0.35">
      <c r="E50" s="45" t="s">
        <v>36</v>
      </c>
      <c r="F50" s="58" t="s">
        <v>37</v>
      </c>
      <c r="G50" s="44">
        <v>43</v>
      </c>
      <c r="H50" s="23" t="s">
        <v>27</v>
      </c>
      <c r="I50" s="15" t="s">
        <v>10</v>
      </c>
      <c r="J50" s="16" t="s">
        <v>61</v>
      </c>
    </row>
    <row r="51" spans="1:10" ht="15" thickBot="1" x14ac:dyDescent="0.4">
      <c r="E51" s="45" t="s">
        <v>16</v>
      </c>
      <c r="F51" s="46" t="s">
        <v>38</v>
      </c>
      <c r="G51" s="44">
        <v>23</v>
      </c>
      <c r="H51" s="23" t="s">
        <v>22</v>
      </c>
      <c r="I51" s="17" t="s">
        <v>12</v>
      </c>
      <c r="J51" s="18" t="s">
        <v>62</v>
      </c>
    </row>
    <row r="52" spans="1:10" x14ac:dyDescent="0.35">
      <c r="E52" s="45" t="s">
        <v>39</v>
      </c>
      <c r="F52" s="46" t="s">
        <v>40</v>
      </c>
      <c r="G52" s="44">
        <v>73</v>
      </c>
      <c r="H52" s="23" t="s">
        <v>24</v>
      </c>
    </row>
    <row r="53" spans="1:10" x14ac:dyDescent="0.35">
      <c r="E53" s="45" t="s">
        <v>41</v>
      </c>
      <c r="F53" s="46" t="s">
        <v>42</v>
      </c>
      <c r="G53" s="44">
        <v>87</v>
      </c>
      <c r="H53" s="23" t="s">
        <v>47</v>
      </c>
    </row>
    <row r="54" spans="1:10" x14ac:dyDescent="0.35">
      <c r="E54" s="45" t="s">
        <v>43</v>
      </c>
      <c r="F54" s="46" t="s">
        <v>44</v>
      </c>
      <c r="G54" s="44">
        <v>3</v>
      </c>
      <c r="H54" s="23" t="s">
        <v>48</v>
      </c>
    </row>
    <row r="55" spans="1:10" x14ac:dyDescent="0.35">
      <c r="E55" s="45" t="s">
        <v>45</v>
      </c>
      <c r="F55" s="47" t="s">
        <v>46</v>
      </c>
      <c r="G55" s="44">
        <v>82</v>
      </c>
      <c r="H55" s="23" t="s">
        <v>50</v>
      </c>
    </row>
    <row r="56" spans="1:10" x14ac:dyDescent="0.35">
      <c r="G56" s="22">
        <v>83</v>
      </c>
      <c r="H56" s="23" t="s">
        <v>49</v>
      </c>
    </row>
    <row r="57" spans="1:10" x14ac:dyDescent="0.35">
      <c r="G57" s="22">
        <v>42</v>
      </c>
      <c r="H57" s="23" t="s">
        <v>51</v>
      </c>
    </row>
    <row r="58" spans="1:10" x14ac:dyDescent="0.35">
      <c r="G58" s="22">
        <v>112</v>
      </c>
      <c r="H58" s="23" t="s">
        <v>66</v>
      </c>
    </row>
    <row r="59" spans="1:10" ht="15" thickBot="1" x14ac:dyDescent="0.4">
      <c r="G59" s="25">
        <v>113</v>
      </c>
      <c r="H59" s="26" t="s">
        <v>67</v>
      </c>
    </row>
    <row r="100" spans="1:10" x14ac:dyDescent="0.35">
      <c r="A100" s="271" t="s">
        <v>228</v>
      </c>
      <c r="B100" s="271" t="s">
        <v>206</v>
      </c>
      <c r="C100" s="271" t="s">
        <v>229</v>
      </c>
      <c r="D100" s="271" t="s">
        <v>142</v>
      </c>
      <c r="E100" s="271" t="s">
        <v>147</v>
      </c>
      <c r="F100" s="271" t="s">
        <v>225</v>
      </c>
      <c r="G100" s="271" t="s">
        <v>207</v>
      </c>
      <c r="H100" s="271" t="s">
        <v>231</v>
      </c>
      <c r="I100" s="271" t="s">
        <v>213</v>
      </c>
      <c r="J100" s="272" t="s">
        <v>215</v>
      </c>
    </row>
    <row r="101" spans="1:10" x14ac:dyDescent="0.35">
      <c r="A101" s="245" t="s">
        <v>212</v>
      </c>
      <c r="B101" s="269">
        <f>COUNTIF($D$2:$I$34,"&gt;=2,5")-COUNTIF($D$2:$I$34,"&gt;7,4")</f>
        <v>11</v>
      </c>
      <c r="C101" s="269">
        <v>5</v>
      </c>
      <c r="D101" s="269"/>
      <c r="E101" s="269">
        <f>(B101*10000)/625</f>
        <v>176</v>
      </c>
      <c r="F101" s="270">
        <f>(PI()/4)*(C101/100)^2</f>
        <v>1.9634954084936209E-3</v>
      </c>
      <c r="G101" s="270">
        <f>E101*F101</f>
        <v>0.34557519189487729</v>
      </c>
      <c r="H101" s="269"/>
      <c r="I101" s="269"/>
      <c r="J101" s="269"/>
    </row>
    <row r="102" spans="1:10" x14ac:dyDescent="0.35">
      <c r="A102" s="246" t="s">
        <v>211</v>
      </c>
      <c r="B102" s="257">
        <f>COUNTIF($D$2:$I$34,"&gt;=7,5")-COUNTIF($D$2:$I$34,"&gt;12,4")</f>
        <v>14</v>
      </c>
      <c r="C102" s="257">
        <v>10</v>
      </c>
      <c r="D102" s="257"/>
      <c r="E102" s="257">
        <f t="shared" ref="E102:E108" si="1">(B102*10000)/625</f>
        <v>224</v>
      </c>
      <c r="F102" s="258">
        <f t="shared" ref="F102:F108" si="2">(PI()/4)*(C102/100)^2</f>
        <v>7.8539816339744835E-3</v>
      </c>
      <c r="G102" s="258">
        <f t="shared" ref="G102:G108" si="3">E102*F102</f>
        <v>1.7592918860102844</v>
      </c>
      <c r="H102" s="257"/>
      <c r="I102" s="257"/>
      <c r="J102" s="257"/>
    </row>
    <row r="103" spans="1:10" x14ac:dyDescent="0.35">
      <c r="A103" s="245" t="s">
        <v>209</v>
      </c>
      <c r="B103" s="269">
        <f>COUNTIF($D$2:$I$34,"&gt;=12,5")-COUNTIF($D$2:$I$34,"&gt;17,4")</f>
        <v>15</v>
      </c>
      <c r="C103" s="269">
        <v>15</v>
      </c>
      <c r="D103" s="269"/>
      <c r="E103" s="269">
        <f t="shared" si="1"/>
        <v>240</v>
      </c>
      <c r="F103" s="270">
        <f t="shared" si="2"/>
        <v>1.7671458676442587E-2</v>
      </c>
      <c r="G103" s="270">
        <f t="shared" si="3"/>
        <v>4.2411500823462207</v>
      </c>
      <c r="H103" s="269"/>
      <c r="I103" s="269"/>
      <c r="J103" s="269"/>
    </row>
    <row r="104" spans="1:10" x14ac:dyDescent="0.35">
      <c r="A104" s="246" t="s">
        <v>208</v>
      </c>
      <c r="B104" s="257">
        <f>COUNTIF($D$2:$I$34,"&gt;=17,5")-COUNTIF($D$2:$I$34,"&gt;22,4")</f>
        <v>7</v>
      </c>
      <c r="C104" s="257">
        <v>20</v>
      </c>
      <c r="D104" s="257"/>
      <c r="E104" s="257">
        <f t="shared" si="1"/>
        <v>112</v>
      </c>
      <c r="F104" s="258">
        <f t="shared" si="2"/>
        <v>3.1415926535897934E-2</v>
      </c>
      <c r="G104" s="258">
        <f t="shared" si="3"/>
        <v>3.5185837720205688</v>
      </c>
      <c r="H104" s="257"/>
      <c r="I104" s="257"/>
      <c r="J104" s="257"/>
    </row>
    <row r="105" spans="1:10" x14ac:dyDescent="0.35">
      <c r="A105" s="245" t="s">
        <v>210</v>
      </c>
      <c r="B105" s="269">
        <f>COUNTIF($D$2:$I$34,"&gt;=22,5")-COUNTIF($D$2:$I$34,"&gt;27,4")</f>
        <v>1</v>
      </c>
      <c r="C105" s="269">
        <v>25</v>
      </c>
      <c r="D105" s="269"/>
      <c r="E105" s="269">
        <f t="shared" si="1"/>
        <v>16</v>
      </c>
      <c r="F105" s="270">
        <f t="shared" si="2"/>
        <v>4.9087385212340517E-2</v>
      </c>
      <c r="G105" s="270">
        <f t="shared" si="3"/>
        <v>0.78539816339744828</v>
      </c>
      <c r="H105" s="269"/>
      <c r="I105" s="269"/>
      <c r="J105" s="269"/>
    </row>
    <row r="106" spans="1:10" x14ac:dyDescent="0.35">
      <c r="A106" s="246" t="s">
        <v>221</v>
      </c>
      <c r="B106" s="257">
        <f>COUNTIF($D$2:$I$34,"&gt;=27,5")-COUNTIF($D$2:$I$34,"&gt;32,4")</f>
        <v>0</v>
      </c>
      <c r="C106" s="257">
        <v>30</v>
      </c>
      <c r="D106" s="257"/>
      <c r="E106" s="257">
        <f t="shared" si="1"/>
        <v>0</v>
      </c>
      <c r="F106" s="258">
        <f t="shared" si="2"/>
        <v>7.0685834705770348E-2</v>
      </c>
      <c r="G106" s="258">
        <f t="shared" si="3"/>
        <v>0</v>
      </c>
      <c r="H106" s="257"/>
      <c r="I106" s="257"/>
      <c r="J106" s="257"/>
    </row>
    <row r="107" spans="1:10" x14ac:dyDescent="0.35">
      <c r="A107" s="245" t="s">
        <v>222</v>
      </c>
      <c r="B107" s="269">
        <f>COUNTIF($D$2:$I$34,"&gt;=32,5")-COUNTIF($D$2:$I$34,"&gt;37,4")</f>
        <v>0</v>
      </c>
      <c r="C107" s="269">
        <v>35</v>
      </c>
      <c r="D107" s="269"/>
      <c r="E107" s="269">
        <f t="shared" si="1"/>
        <v>0</v>
      </c>
      <c r="F107" s="270">
        <f t="shared" si="2"/>
        <v>9.6211275016187398E-2</v>
      </c>
      <c r="G107" s="270">
        <f t="shared" si="3"/>
        <v>0</v>
      </c>
      <c r="H107" s="269"/>
      <c r="I107" s="269"/>
      <c r="J107" s="269"/>
    </row>
    <row r="108" spans="1:10" x14ac:dyDescent="0.35">
      <c r="A108" s="246" t="s">
        <v>223</v>
      </c>
      <c r="B108" s="257">
        <f>COUNTIF($D$2:$I$34,"&gt;=37,5")-COUNTIF($D$2:$I$34,"&gt;42,4")</f>
        <v>0</v>
      </c>
      <c r="C108" s="257">
        <v>40</v>
      </c>
      <c r="D108" s="257"/>
      <c r="E108" s="257">
        <f t="shared" si="1"/>
        <v>0</v>
      </c>
      <c r="F108" s="258">
        <f t="shared" si="2"/>
        <v>0.12566370614359174</v>
      </c>
      <c r="G108" s="258">
        <f t="shared" si="3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SUBTOTAL(109,Tabla33[NÚMERO DE PIES])</f>
        <v>48</v>
      </c>
      <c r="C109" s="268">
        <f>SUBTOTAL(103,Tabla33[CLASE DIAMETRICA])</f>
        <v>8</v>
      </c>
      <c r="D109" s="268"/>
      <c r="E109" s="268">
        <f>SUBTOTAL(109,Tabla33[pies/ha])</f>
        <v>768</v>
      </c>
      <c r="F109" s="239">
        <f>SUBTOTAL(101,Tabla33[gn (m2)])</f>
        <v>5.0069132916587329E-2</v>
      </c>
      <c r="G109" s="239">
        <f>SUBTOTAL(109,Tabla33[G (m2/ha.)])</f>
        <v>10.649999095669401</v>
      </c>
      <c r="H109" s="268"/>
      <c r="I109" s="268"/>
      <c r="J109" s="268">
        <f>SUBTOTAL(103,Tabla33[AB (m2) final])</f>
        <v>0</v>
      </c>
    </row>
  </sheetData>
  <mergeCells count="2">
    <mergeCell ref="A42:J42"/>
    <mergeCell ref="A44:J44"/>
  </mergeCells>
  <pageMargins left="0.7" right="0.7" top="0.75" bottom="0.75" header="0.3" footer="0.3"/>
  <pageSetup paperSize="8" scale="66" orientation="portrait" r:id="rId1"/>
  <headerFooter>
    <oddHeader>&amp;C
Parcela &amp;KC00000C1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view="pageLayout" topLeftCell="A55" zoomScale="90" zoomScaleNormal="100" zoomScalePageLayoutView="90" workbookViewId="0">
      <selection activeCell="E108" sqref="E108"/>
    </sheetView>
  </sheetViews>
  <sheetFormatPr baseColWidth="10" defaultColWidth="8.7265625" defaultRowHeight="14.5" x14ac:dyDescent="0.35"/>
  <cols>
    <col min="1" max="1" width="18.6328125" customWidth="1"/>
    <col min="2" max="2" width="20.1796875" customWidth="1"/>
    <col min="3" max="3" width="16.7265625" customWidth="1"/>
    <col min="4" max="4" width="18.453125" customWidth="1"/>
    <col min="5" max="6" width="13.7265625" customWidth="1"/>
    <col min="7" max="7" width="14.7265625" customWidth="1"/>
    <col min="8" max="8" width="16.453125" customWidth="1"/>
    <col min="9" max="9" width="9.90625" customWidth="1"/>
    <col min="10" max="10" width="7.90625" customWidth="1"/>
    <col min="11" max="11" width="13.179687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33" t="s">
        <v>195</v>
      </c>
      <c r="J1" s="33" t="s">
        <v>239</v>
      </c>
      <c r="K1" s="33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9.5</v>
      </c>
      <c r="D2" s="174">
        <v>17</v>
      </c>
      <c r="E2" s="174"/>
      <c r="F2" s="190"/>
      <c r="G2" s="190"/>
      <c r="H2" s="190"/>
      <c r="I2" s="190"/>
      <c r="J2" s="237">
        <f t="shared" ref="J2:J46" si="0">PI()*(((C2)/2)/100)^2+PI()*(((D2)/2)/100)^2+PI()*(((E2)/2)/100)^2+PI()*(((F2)/2)/100)^2+PI()*(((G2)/2)/100)^2+PI()*(((H2)/2)/100)^2</f>
        <v>2.978622534684823E-2</v>
      </c>
      <c r="K2" s="190"/>
      <c r="L2" s="174" t="s">
        <v>13</v>
      </c>
      <c r="M2" s="175"/>
    </row>
    <row r="3" spans="1:13" x14ac:dyDescent="0.35">
      <c r="A3" s="176">
        <v>2</v>
      </c>
      <c r="B3" s="137">
        <v>125</v>
      </c>
      <c r="C3" s="137">
        <v>12</v>
      </c>
      <c r="D3" s="137"/>
      <c r="E3" s="137">
        <v>19</v>
      </c>
      <c r="F3" s="138">
        <v>12</v>
      </c>
      <c r="G3" s="138"/>
      <c r="H3" s="138"/>
      <c r="I3" s="138"/>
      <c r="J3" s="241">
        <f t="shared" si="0"/>
        <v>5.0972340804494393E-2</v>
      </c>
      <c r="K3" s="138"/>
      <c r="L3" s="137" t="s">
        <v>13</v>
      </c>
      <c r="M3" s="177"/>
    </row>
    <row r="4" spans="1:13" x14ac:dyDescent="0.35">
      <c r="A4" s="176">
        <v>3</v>
      </c>
      <c r="B4" s="137">
        <v>125</v>
      </c>
      <c r="C4" s="137">
        <v>8.5</v>
      </c>
      <c r="D4" s="137">
        <v>19</v>
      </c>
      <c r="E4" s="137"/>
      <c r="F4" s="138"/>
      <c r="G4" s="138"/>
      <c r="H4" s="138"/>
      <c r="I4" s="138"/>
      <c r="J4" s="241">
        <f t="shared" si="0"/>
        <v>3.4027375429194449E-2</v>
      </c>
      <c r="K4" s="138"/>
      <c r="L4" s="137" t="s">
        <v>13</v>
      </c>
      <c r="M4" s="177"/>
    </row>
    <row r="5" spans="1:13" x14ac:dyDescent="0.35">
      <c r="A5" s="176">
        <v>4</v>
      </c>
      <c r="B5" s="137">
        <v>46</v>
      </c>
      <c r="C5" s="137">
        <v>3</v>
      </c>
      <c r="D5" s="137"/>
      <c r="E5" s="137">
        <v>6</v>
      </c>
      <c r="F5" s="138">
        <v>5</v>
      </c>
      <c r="G5" s="138"/>
      <c r="H5" s="138"/>
      <c r="I5" s="138"/>
      <c r="J5" s="241">
        <f t="shared" si="0"/>
        <v>5.4977871437821377E-3</v>
      </c>
      <c r="K5" s="138"/>
      <c r="L5" s="137" t="s">
        <v>6</v>
      </c>
      <c r="M5" s="177"/>
    </row>
    <row r="6" spans="1:13" x14ac:dyDescent="0.35">
      <c r="A6" s="176">
        <v>5</v>
      </c>
      <c r="B6" s="137">
        <v>125</v>
      </c>
      <c r="C6" s="137">
        <v>9</v>
      </c>
      <c r="D6" s="137">
        <v>20</v>
      </c>
      <c r="E6" s="137"/>
      <c r="F6" s="138"/>
      <c r="G6" s="138"/>
      <c r="H6" s="138"/>
      <c r="I6" s="138"/>
      <c r="J6" s="241">
        <f t="shared" si="0"/>
        <v>3.7777651659417266E-2</v>
      </c>
      <c r="K6" s="138"/>
      <c r="L6" s="137" t="s">
        <v>13</v>
      </c>
      <c r="M6" s="177"/>
    </row>
    <row r="7" spans="1:13" x14ac:dyDescent="0.35">
      <c r="A7" s="176">
        <v>6</v>
      </c>
      <c r="B7" s="137">
        <v>46</v>
      </c>
      <c r="C7" s="137">
        <v>3</v>
      </c>
      <c r="D7" s="137">
        <v>8</v>
      </c>
      <c r="E7" s="137"/>
      <c r="F7" s="138"/>
      <c r="G7" s="138"/>
      <c r="H7" s="138"/>
      <c r="I7" s="138"/>
      <c r="J7" s="241">
        <f t="shared" si="0"/>
        <v>5.7334065928013721E-3</v>
      </c>
      <c r="K7" s="138"/>
      <c r="L7" s="137" t="s">
        <v>5</v>
      </c>
      <c r="M7" s="177"/>
    </row>
    <row r="8" spans="1:13" x14ac:dyDescent="0.35">
      <c r="A8" s="176">
        <v>7</v>
      </c>
      <c r="B8" s="137">
        <v>125</v>
      </c>
      <c r="C8" s="137">
        <v>10</v>
      </c>
      <c r="D8" s="137">
        <v>21</v>
      </c>
      <c r="E8" s="137"/>
      <c r="F8" s="138"/>
      <c r="G8" s="138"/>
      <c r="H8" s="138"/>
      <c r="I8" s="138"/>
      <c r="J8" s="241">
        <f t="shared" si="0"/>
        <v>4.2490040639801954E-2</v>
      </c>
      <c r="K8" s="138"/>
      <c r="L8" s="137" t="s">
        <v>78</v>
      </c>
      <c r="M8" s="177"/>
    </row>
    <row r="9" spans="1:13" x14ac:dyDescent="0.35">
      <c r="A9" s="176">
        <v>8</v>
      </c>
      <c r="B9" s="137">
        <v>125</v>
      </c>
      <c r="C9" s="137">
        <v>9.5</v>
      </c>
      <c r="D9" s="137">
        <v>21</v>
      </c>
      <c r="E9" s="137"/>
      <c r="F9" s="138"/>
      <c r="G9" s="138"/>
      <c r="H9" s="138"/>
      <c r="I9" s="138"/>
      <c r="J9" s="241">
        <f t="shared" si="0"/>
        <v>4.172427743048944E-2</v>
      </c>
      <c r="K9" s="138"/>
      <c r="L9" s="137" t="s">
        <v>13</v>
      </c>
      <c r="M9" s="177"/>
    </row>
    <row r="10" spans="1:13" x14ac:dyDescent="0.35">
      <c r="A10" s="176">
        <v>9</v>
      </c>
      <c r="B10" s="137">
        <v>125</v>
      </c>
      <c r="C10" s="137">
        <v>10.5</v>
      </c>
      <c r="D10" s="137">
        <v>24</v>
      </c>
      <c r="E10" s="137"/>
      <c r="F10" s="138"/>
      <c r="G10" s="138"/>
      <c r="H10" s="138"/>
      <c r="I10" s="138"/>
      <c r="J10" s="241">
        <f t="shared" si="0"/>
        <v>5.3897948963149887E-2</v>
      </c>
      <c r="K10" s="138"/>
      <c r="L10" s="137" t="s">
        <v>12</v>
      </c>
      <c r="M10" s="177"/>
    </row>
    <row r="11" spans="1:13" x14ac:dyDescent="0.35">
      <c r="A11" s="176">
        <v>10</v>
      </c>
      <c r="B11" s="137">
        <v>125</v>
      </c>
      <c r="C11" s="137">
        <v>7</v>
      </c>
      <c r="D11" s="137">
        <v>12</v>
      </c>
      <c r="E11" s="137"/>
      <c r="F11" s="138"/>
      <c r="G11" s="138"/>
      <c r="H11" s="138"/>
      <c r="I11" s="138"/>
      <c r="J11" s="241">
        <f t="shared" si="0"/>
        <v>1.5158184553570752E-2</v>
      </c>
      <c r="K11" s="138"/>
      <c r="L11" s="137" t="s">
        <v>5</v>
      </c>
      <c r="M11" s="177"/>
    </row>
    <row r="12" spans="1:13" x14ac:dyDescent="0.35">
      <c r="A12" s="176">
        <v>11</v>
      </c>
      <c r="B12" s="137">
        <v>125</v>
      </c>
      <c r="C12" s="137">
        <v>7.5</v>
      </c>
      <c r="D12" s="137">
        <v>16</v>
      </c>
      <c r="E12" s="137"/>
      <c r="F12" s="138"/>
      <c r="G12" s="138"/>
      <c r="H12" s="138"/>
      <c r="I12" s="138"/>
      <c r="J12" s="241">
        <f t="shared" si="0"/>
        <v>2.4524057652085322E-2</v>
      </c>
      <c r="K12" s="138"/>
      <c r="L12" s="137" t="s">
        <v>10</v>
      </c>
      <c r="M12" s="177"/>
    </row>
    <row r="13" spans="1:13" x14ac:dyDescent="0.35">
      <c r="A13" s="176">
        <v>12</v>
      </c>
      <c r="B13" s="137">
        <v>125</v>
      </c>
      <c r="C13" s="137">
        <v>10</v>
      </c>
      <c r="D13" s="137">
        <v>23</v>
      </c>
      <c r="E13" s="137"/>
      <c r="F13" s="138"/>
      <c r="G13" s="138"/>
      <c r="H13" s="138"/>
      <c r="I13" s="138"/>
      <c r="J13" s="241">
        <f t="shared" si="0"/>
        <v>4.9401544477699497E-2</v>
      </c>
      <c r="K13" s="138"/>
      <c r="L13" s="137" t="s">
        <v>12</v>
      </c>
      <c r="M13" s="177"/>
    </row>
    <row r="14" spans="1:13" x14ac:dyDescent="0.35">
      <c r="A14" s="176">
        <v>13</v>
      </c>
      <c r="B14" s="137">
        <v>125</v>
      </c>
      <c r="C14" s="137">
        <v>6</v>
      </c>
      <c r="D14" s="137"/>
      <c r="E14" s="137">
        <v>8</v>
      </c>
      <c r="F14" s="138">
        <v>19</v>
      </c>
      <c r="G14" s="138"/>
      <c r="H14" s="138"/>
      <c r="I14" s="138"/>
      <c r="J14" s="241">
        <f t="shared" si="0"/>
        <v>3.620685533262237E-2</v>
      </c>
      <c r="K14" s="138"/>
      <c r="L14" s="137" t="s">
        <v>5</v>
      </c>
      <c r="M14" s="177" t="s">
        <v>87</v>
      </c>
    </row>
    <row r="15" spans="1:13" x14ac:dyDescent="0.35">
      <c r="A15" s="176">
        <v>14</v>
      </c>
      <c r="B15" s="137">
        <v>125</v>
      </c>
      <c r="C15" s="137">
        <v>9</v>
      </c>
      <c r="D15" s="137">
        <v>15</v>
      </c>
      <c r="E15" s="137"/>
      <c r="F15" s="138"/>
      <c r="G15" s="138"/>
      <c r="H15" s="138"/>
      <c r="I15" s="138"/>
      <c r="J15" s="241">
        <f t="shared" si="0"/>
        <v>2.4033183799961916E-2</v>
      </c>
      <c r="K15" s="138"/>
      <c r="L15" s="137" t="s">
        <v>13</v>
      </c>
      <c r="M15" s="177"/>
    </row>
    <row r="16" spans="1:13" x14ac:dyDescent="0.35">
      <c r="A16" s="176">
        <v>15</v>
      </c>
      <c r="B16" s="137">
        <v>125</v>
      </c>
      <c r="C16" s="137">
        <v>9.5</v>
      </c>
      <c r="D16" s="137"/>
      <c r="E16" s="137">
        <v>16</v>
      </c>
      <c r="F16" s="138">
        <v>11</v>
      </c>
      <c r="G16" s="138"/>
      <c r="H16" s="138"/>
      <c r="I16" s="138"/>
      <c r="J16" s="241">
        <f t="shared" si="0"/>
        <v>3.6697729184745773E-2</v>
      </c>
      <c r="K16" s="138"/>
      <c r="L16" s="137" t="s">
        <v>13</v>
      </c>
      <c r="M16" s="177"/>
    </row>
    <row r="17" spans="1:13" x14ac:dyDescent="0.35">
      <c r="A17" s="176">
        <v>16</v>
      </c>
      <c r="B17" s="137">
        <v>125</v>
      </c>
      <c r="C17" s="137">
        <v>10</v>
      </c>
      <c r="D17" s="137">
        <v>20</v>
      </c>
      <c r="E17" s="137"/>
      <c r="F17" s="138"/>
      <c r="G17" s="138"/>
      <c r="H17" s="138"/>
      <c r="I17" s="138"/>
      <c r="J17" s="241">
        <f t="shared" si="0"/>
        <v>3.9269908169872414E-2</v>
      </c>
      <c r="K17" s="138"/>
      <c r="L17" s="137" t="s">
        <v>13</v>
      </c>
      <c r="M17" s="177"/>
    </row>
    <row r="18" spans="1:13" x14ac:dyDescent="0.35">
      <c r="A18" s="176">
        <v>17</v>
      </c>
      <c r="B18" s="137">
        <v>125</v>
      </c>
      <c r="C18" s="137">
        <v>5</v>
      </c>
      <c r="D18" s="137">
        <v>17</v>
      </c>
      <c r="E18" s="137"/>
      <c r="F18" s="138"/>
      <c r="G18" s="138"/>
      <c r="H18" s="138"/>
      <c r="I18" s="138"/>
      <c r="J18" s="241">
        <f t="shared" si="0"/>
        <v>2.4661502330679881E-2</v>
      </c>
      <c r="K18" s="138"/>
      <c r="L18" s="137" t="s">
        <v>5</v>
      </c>
      <c r="M18" s="177"/>
    </row>
    <row r="19" spans="1:13" x14ac:dyDescent="0.35">
      <c r="A19" s="176">
        <v>18</v>
      </c>
      <c r="B19" s="137">
        <v>46</v>
      </c>
      <c r="C19" s="137">
        <v>3</v>
      </c>
      <c r="D19" s="137">
        <v>6</v>
      </c>
      <c r="E19" s="137"/>
      <c r="F19" s="138"/>
      <c r="G19" s="138"/>
      <c r="H19" s="138"/>
      <c r="I19" s="138"/>
      <c r="J19" s="241">
        <f t="shared" si="0"/>
        <v>3.5342917352885169E-3</v>
      </c>
      <c r="K19" s="138"/>
      <c r="L19" s="137" t="s">
        <v>6</v>
      </c>
      <c r="M19" s="177"/>
    </row>
    <row r="20" spans="1:13" x14ac:dyDescent="0.35">
      <c r="A20" s="176">
        <v>19</v>
      </c>
      <c r="B20" s="137">
        <v>125</v>
      </c>
      <c r="C20" s="137">
        <v>8</v>
      </c>
      <c r="D20" s="137">
        <v>10</v>
      </c>
      <c r="E20" s="137"/>
      <c r="F20" s="138"/>
      <c r="G20" s="138"/>
      <c r="H20" s="138"/>
      <c r="I20" s="138"/>
      <c r="J20" s="241">
        <f t="shared" si="0"/>
        <v>1.2880529879718152E-2</v>
      </c>
      <c r="K20" s="138"/>
      <c r="L20" s="137" t="s">
        <v>5</v>
      </c>
      <c r="M20" s="177" t="s">
        <v>88</v>
      </c>
    </row>
    <row r="21" spans="1:13" x14ac:dyDescent="0.35">
      <c r="A21" s="176">
        <v>20</v>
      </c>
      <c r="B21" s="137">
        <v>125</v>
      </c>
      <c r="C21" s="137">
        <v>10</v>
      </c>
      <c r="D21" s="137"/>
      <c r="E21" s="137">
        <v>8</v>
      </c>
      <c r="F21" s="138">
        <v>21</v>
      </c>
      <c r="G21" s="138"/>
      <c r="H21" s="138"/>
      <c r="I21" s="138"/>
      <c r="J21" s="241">
        <f t="shared" si="0"/>
        <v>4.7516588885545621E-2</v>
      </c>
      <c r="K21" s="138"/>
      <c r="L21" s="137" t="s">
        <v>13</v>
      </c>
      <c r="M21" s="177"/>
    </row>
    <row r="22" spans="1:13" x14ac:dyDescent="0.35">
      <c r="A22" s="176">
        <v>21</v>
      </c>
      <c r="B22" s="137">
        <v>125</v>
      </c>
      <c r="C22" s="137">
        <v>10</v>
      </c>
      <c r="D22" s="137">
        <v>20</v>
      </c>
      <c r="E22" s="137"/>
      <c r="F22" s="138"/>
      <c r="G22" s="138"/>
      <c r="H22" s="138"/>
      <c r="I22" s="138"/>
      <c r="J22" s="241">
        <f t="shared" si="0"/>
        <v>3.9269908169872414E-2</v>
      </c>
      <c r="K22" s="138"/>
      <c r="L22" s="137" t="s">
        <v>13</v>
      </c>
      <c r="M22" s="177"/>
    </row>
    <row r="23" spans="1:13" x14ac:dyDescent="0.35">
      <c r="A23" s="176">
        <v>22</v>
      </c>
      <c r="B23" s="137">
        <v>112</v>
      </c>
      <c r="C23" s="137">
        <v>2</v>
      </c>
      <c r="D23" s="137">
        <v>5</v>
      </c>
      <c r="E23" s="137"/>
      <c r="F23" s="138"/>
      <c r="G23" s="138"/>
      <c r="H23" s="138"/>
      <c r="I23" s="138"/>
      <c r="J23" s="241">
        <f t="shared" si="0"/>
        <v>2.2776546738526001E-3</v>
      </c>
      <c r="K23" s="138"/>
      <c r="L23" s="137" t="s">
        <v>6</v>
      </c>
      <c r="M23" s="177"/>
    </row>
    <row r="24" spans="1:13" x14ac:dyDescent="0.35">
      <c r="A24" s="176">
        <v>23</v>
      </c>
      <c r="B24" s="137">
        <v>112</v>
      </c>
      <c r="C24" s="137">
        <v>3.5</v>
      </c>
      <c r="D24" s="137"/>
      <c r="E24" s="137">
        <v>6</v>
      </c>
      <c r="F24" s="138">
        <v>5</v>
      </c>
      <c r="G24" s="138"/>
      <c r="H24" s="138"/>
      <c r="I24" s="138"/>
      <c r="J24" s="241">
        <f t="shared" si="0"/>
        <v>5.7530415468863092E-3</v>
      </c>
      <c r="K24" s="138"/>
      <c r="L24" s="137" t="s">
        <v>6</v>
      </c>
      <c r="M24" s="177"/>
    </row>
    <row r="25" spans="1:13" x14ac:dyDescent="0.35">
      <c r="A25" s="176">
        <v>24</v>
      </c>
      <c r="B25" s="137">
        <v>125</v>
      </c>
      <c r="C25" s="137">
        <v>12</v>
      </c>
      <c r="D25" s="137">
        <v>26</v>
      </c>
      <c r="E25" s="137"/>
      <c r="F25" s="138"/>
      <c r="G25" s="138"/>
      <c r="H25" s="138"/>
      <c r="I25" s="138"/>
      <c r="J25" s="241">
        <f t="shared" si="0"/>
        <v>6.4402649398590764E-2</v>
      </c>
      <c r="K25" s="138"/>
      <c r="L25" s="137" t="s">
        <v>12</v>
      </c>
      <c r="M25" s="177"/>
    </row>
    <row r="26" spans="1:13" x14ac:dyDescent="0.35">
      <c r="A26" s="176">
        <v>25</v>
      </c>
      <c r="B26" s="137">
        <v>46</v>
      </c>
      <c r="C26" s="137">
        <v>4.5</v>
      </c>
      <c r="D26" s="137">
        <v>7</v>
      </c>
      <c r="E26" s="137"/>
      <c r="F26" s="138"/>
      <c r="G26" s="138"/>
      <c r="H26" s="138"/>
      <c r="I26" s="138"/>
      <c r="J26" s="241">
        <f t="shared" si="0"/>
        <v>5.43888228152733E-3</v>
      </c>
      <c r="K26" s="138"/>
      <c r="L26" s="137" t="s">
        <v>5</v>
      </c>
      <c r="M26" s="177"/>
    </row>
    <row r="27" spans="1:13" x14ac:dyDescent="0.35">
      <c r="A27" s="176">
        <v>26</v>
      </c>
      <c r="B27" s="137">
        <v>112</v>
      </c>
      <c r="C27" s="137">
        <v>1.5</v>
      </c>
      <c r="D27" s="137">
        <v>10</v>
      </c>
      <c r="E27" s="137"/>
      <c r="F27" s="138"/>
      <c r="G27" s="138"/>
      <c r="H27" s="138"/>
      <c r="I27" s="138"/>
      <c r="J27" s="241">
        <f t="shared" si="0"/>
        <v>8.0306962207389102E-3</v>
      </c>
      <c r="K27" s="138"/>
      <c r="L27" s="137" t="s">
        <v>6</v>
      </c>
      <c r="M27" s="177" t="s">
        <v>84</v>
      </c>
    </row>
    <row r="28" spans="1:13" x14ac:dyDescent="0.35">
      <c r="A28" s="176">
        <v>27</v>
      </c>
      <c r="B28" s="137">
        <v>125</v>
      </c>
      <c r="C28" s="137">
        <v>9.5</v>
      </c>
      <c r="D28" s="137">
        <v>22</v>
      </c>
      <c r="E28" s="137"/>
      <c r="F28" s="138"/>
      <c r="G28" s="138"/>
      <c r="H28" s="138"/>
      <c r="I28" s="138"/>
      <c r="J28" s="241">
        <f t="shared" si="0"/>
        <v>4.510148953309847E-2</v>
      </c>
      <c r="K28" s="138"/>
      <c r="L28" s="137" t="s">
        <v>13</v>
      </c>
      <c r="M28" s="177"/>
    </row>
    <row r="29" spans="1:13" x14ac:dyDescent="0.35">
      <c r="A29" s="176">
        <v>28</v>
      </c>
      <c r="B29" s="137">
        <v>125</v>
      </c>
      <c r="C29" s="137">
        <v>11</v>
      </c>
      <c r="D29" s="137">
        <v>22</v>
      </c>
      <c r="E29" s="137"/>
      <c r="F29" s="138"/>
      <c r="G29" s="138"/>
      <c r="H29" s="138"/>
      <c r="I29" s="138"/>
      <c r="J29" s="241">
        <f t="shared" si="0"/>
        <v>4.7516588885545621E-2</v>
      </c>
      <c r="K29" s="138"/>
      <c r="L29" s="137" t="s">
        <v>12</v>
      </c>
      <c r="M29" s="177"/>
    </row>
    <row r="30" spans="1:13" x14ac:dyDescent="0.35">
      <c r="A30" s="176">
        <v>29</v>
      </c>
      <c r="B30" s="137">
        <v>125</v>
      </c>
      <c r="C30" s="137">
        <v>8</v>
      </c>
      <c r="D30" s="137">
        <v>6</v>
      </c>
      <c r="E30" s="137"/>
      <c r="F30" s="138"/>
      <c r="G30" s="138"/>
      <c r="H30" s="138"/>
      <c r="I30" s="138"/>
      <c r="J30" s="241">
        <f t="shared" si="0"/>
        <v>7.8539816339744835E-3</v>
      </c>
      <c r="K30" s="138"/>
      <c r="L30" s="137" t="s">
        <v>75</v>
      </c>
      <c r="M30" s="177" t="s">
        <v>88</v>
      </c>
    </row>
    <row r="31" spans="1:13" x14ac:dyDescent="0.35">
      <c r="A31" s="176">
        <v>30</v>
      </c>
      <c r="B31" s="137">
        <v>125</v>
      </c>
      <c r="C31" s="137">
        <v>9</v>
      </c>
      <c r="D31" s="137"/>
      <c r="E31" s="137">
        <v>15</v>
      </c>
      <c r="F31" s="138">
        <v>12</v>
      </c>
      <c r="G31" s="138"/>
      <c r="H31" s="138"/>
      <c r="I31" s="138"/>
      <c r="J31" s="241">
        <f t="shared" si="0"/>
        <v>3.5342917352885167E-2</v>
      </c>
      <c r="K31" s="138"/>
      <c r="L31" s="137" t="s">
        <v>10</v>
      </c>
      <c r="M31" s="177"/>
    </row>
    <row r="32" spans="1:13" x14ac:dyDescent="0.35">
      <c r="A32" s="176">
        <v>31</v>
      </c>
      <c r="B32" s="137">
        <v>125</v>
      </c>
      <c r="C32" s="137">
        <v>10.5</v>
      </c>
      <c r="D32" s="137"/>
      <c r="E32" s="137">
        <v>7</v>
      </c>
      <c r="F32" s="138">
        <v>6</v>
      </c>
      <c r="G32" s="138">
        <v>18</v>
      </c>
      <c r="H32" s="138"/>
      <c r="I32" s="138"/>
      <c r="J32" s="241">
        <f t="shared" si="0"/>
        <v>4.0781799634412502E-2</v>
      </c>
      <c r="K32" s="138"/>
      <c r="L32" s="137" t="s">
        <v>13</v>
      </c>
      <c r="M32" s="177"/>
    </row>
    <row r="33" spans="1:13" x14ac:dyDescent="0.35">
      <c r="A33" s="176">
        <v>32</v>
      </c>
      <c r="B33" s="137">
        <v>125</v>
      </c>
      <c r="C33" s="137">
        <v>10</v>
      </c>
      <c r="D33" s="137">
        <v>21</v>
      </c>
      <c r="E33" s="137"/>
      <c r="F33" s="138"/>
      <c r="G33" s="138"/>
      <c r="H33" s="138"/>
      <c r="I33" s="138"/>
      <c r="J33" s="241">
        <f t="shared" si="0"/>
        <v>4.2490040639801954E-2</v>
      </c>
      <c r="K33" s="138"/>
      <c r="L33" s="137" t="s">
        <v>13</v>
      </c>
      <c r="M33" s="177"/>
    </row>
    <row r="34" spans="1:13" x14ac:dyDescent="0.35">
      <c r="A34" s="176">
        <v>33</v>
      </c>
      <c r="B34" s="137">
        <v>125</v>
      </c>
      <c r="C34" s="137">
        <v>11</v>
      </c>
      <c r="D34" s="137">
        <v>25</v>
      </c>
      <c r="E34" s="137"/>
      <c r="F34" s="138"/>
      <c r="G34" s="138"/>
      <c r="H34" s="138"/>
      <c r="I34" s="138"/>
      <c r="J34" s="241">
        <f t="shared" si="0"/>
        <v>5.8590702989449642E-2</v>
      </c>
      <c r="K34" s="138"/>
      <c r="L34" s="137" t="s">
        <v>12</v>
      </c>
      <c r="M34" s="177"/>
    </row>
    <row r="35" spans="1:13" x14ac:dyDescent="0.35">
      <c r="A35" s="176">
        <v>34</v>
      </c>
      <c r="B35" s="137">
        <v>125</v>
      </c>
      <c r="C35" s="137">
        <v>9</v>
      </c>
      <c r="D35" s="137">
        <v>20</v>
      </c>
      <c r="E35" s="137"/>
      <c r="F35" s="138"/>
      <c r="G35" s="138"/>
      <c r="H35" s="138"/>
      <c r="I35" s="138"/>
      <c r="J35" s="241">
        <f t="shared" si="0"/>
        <v>3.7777651659417266E-2</v>
      </c>
      <c r="K35" s="138"/>
      <c r="L35" s="137" t="s">
        <v>13</v>
      </c>
      <c r="M35" s="177"/>
    </row>
    <row r="36" spans="1:13" x14ac:dyDescent="0.35">
      <c r="A36" s="176">
        <v>35</v>
      </c>
      <c r="B36" s="137">
        <v>125</v>
      </c>
      <c r="C36" s="137">
        <v>11</v>
      </c>
      <c r="D36" s="137">
        <v>20</v>
      </c>
      <c r="E36" s="137"/>
      <c r="F36" s="138"/>
      <c r="G36" s="138"/>
      <c r="H36" s="138"/>
      <c r="I36" s="138"/>
      <c r="J36" s="241">
        <f t="shared" si="0"/>
        <v>4.0919244313007058E-2</v>
      </c>
      <c r="K36" s="138"/>
      <c r="L36" s="137" t="s">
        <v>13</v>
      </c>
      <c r="M36" s="177"/>
    </row>
    <row r="37" spans="1:13" x14ac:dyDescent="0.35">
      <c r="A37" s="176">
        <v>36</v>
      </c>
      <c r="B37" s="137">
        <v>125</v>
      </c>
      <c r="C37" s="137">
        <v>10</v>
      </c>
      <c r="D37" s="137">
        <v>18</v>
      </c>
      <c r="E37" s="137"/>
      <c r="F37" s="138"/>
      <c r="G37" s="138"/>
      <c r="H37" s="138"/>
      <c r="I37" s="138"/>
      <c r="J37" s="241">
        <f t="shared" si="0"/>
        <v>3.3300882128051809E-2</v>
      </c>
      <c r="K37" s="138"/>
      <c r="L37" s="137" t="s">
        <v>10</v>
      </c>
      <c r="M37" s="177"/>
    </row>
    <row r="38" spans="1:13" x14ac:dyDescent="0.35">
      <c r="A38" s="176">
        <v>37</v>
      </c>
      <c r="B38" s="137">
        <v>46</v>
      </c>
      <c r="C38" s="137">
        <v>2.5</v>
      </c>
      <c r="D38" s="137"/>
      <c r="E38" s="137">
        <v>11</v>
      </c>
      <c r="F38" s="138">
        <v>8</v>
      </c>
      <c r="G38" s="138"/>
      <c r="H38" s="138"/>
      <c r="I38" s="138"/>
      <c r="J38" s="241">
        <f t="shared" si="0"/>
        <v>1.5020739874976199E-2</v>
      </c>
      <c r="K38" s="138"/>
      <c r="L38" s="137" t="s">
        <v>6</v>
      </c>
      <c r="M38" s="177"/>
    </row>
    <row r="39" spans="1:13" x14ac:dyDescent="0.35">
      <c r="A39" s="176">
        <v>38</v>
      </c>
      <c r="B39" s="137">
        <v>125</v>
      </c>
      <c r="C39" s="137">
        <v>8.5</v>
      </c>
      <c r="D39" s="137"/>
      <c r="E39" s="137">
        <v>15</v>
      </c>
      <c r="F39" s="138">
        <v>11</v>
      </c>
      <c r="G39" s="138"/>
      <c r="H39" s="138"/>
      <c r="I39" s="138"/>
      <c r="J39" s="241">
        <f t="shared" si="0"/>
        <v>3.2849278184098274E-2</v>
      </c>
      <c r="K39" s="138"/>
      <c r="L39" s="137" t="s">
        <v>6</v>
      </c>
      <c r="M39" s="177" t="s">
        <v>84</v>
      </c>
    </row>
    <row r="40" spans="1:13" x14ac:dyDescent="0.35">
      <c r="A40" s="176">
        <v>39</v>
      </c>
      <c r="B40" s="137">
        <v>125</v>
      </c>
      <c r="C40" s="137">
        <v>7</v>
      </c>
      <c r="D40" s="137"/>
      <c r="E40" s="137">
        <v>7</v>
      </c>
      <c r="F40" s="138">
        <v>7</v>
      </c>
      <c r="G40" s="138"/>
      <c r="H40" s="138"/>
      <c r="I40" s="138"/>
      <c r="J40" s="241">
        <f t="shared" si="0"/>
        <v>1.1545353001942491E-2</v>
      </c>
      <c r="K40" s="138"/>
      <c r="L40" s="137" t="s">
        <v>10</v>
      </c>
      <c r="M40" s="177"/>
    </row>
    <row r="41" spans="1:13" x14ac:dyDescent="0.35">
      <c r="A41" s="176">
        <v>40</v>
      </c>
      <c r="B41" s="137">
        <v>125</v>
      </c>
      <c r="C41" s="137">
        <v>9</v>
      </c>
      <c r="D41" s="137">
        <v>19</v>
      </c>
      <c r="E41" s="137"/>
      <c r="F41" s="138"/>
      <c r="G41" s="138"/>
      <c r="H41" s="138"/>
      <c r="I41" s="138"/>
      <c r="J41" s="241">
        <f t="shared" si="0"/>
        <v>3.4714598822167216E-2</v>
      </c>
      <c r="K41" s="138"/>
      <c r="L41" s="137" t="s">
        <v>13</v>
      </c>
      <c r="M41" s="177"/>
    </row>
    <row r="42" spans="1:13" x14ac:dyDescent="0.35">
      <c r="A42" s="176">
        <v>41</v>
      </c>
      <c r="B42" s="137">
        <v>112</v>
      </c>
      <c r="C42" s="137">
        <v>1.5</v>
      </c>
      <c r="D42" s="137">
        <v>6</v>
      </c>
      <c r="E42" s="137"/>
      <c r="F42" s="138"/>
      <c r="G42" s="138"/>
      <c r="H42" s="138"/>
      <c r="I42" s="138"/>
      <c r="J42" s="241">
        <f t="shared" si="0"/>
        <v>3.0041479749952395E-3</v>
      </c>
      <c r="K42" s="138"/>
      <c r="L42" s="137" t="s">
        <v>75</v>
      </c>
      <c r="M42" s="177"/>
    </row>
    <row r="43" spans="1:13" x14ac:dyDescent="0.35">
      <c r="A43" s="176">
        <v>42</v>
      </c>
      <c r="B43" s="137">
        <v>46</v>
      </c>
      <c r="C43" s="137">
        <v>4</v>
      </c>
      <c r="D43" s="137">
        <v>5</v>
      </c>
      <c r="E43" s="137"/>
      <c r="F43" s="138"/>
      <c r="G43" s="138"/>
      <c r="H43" s="138"/>
      <c r="I43" s="138"/>
      <c r="J43" s="241">
        <f t="shared" si="0"/>
        <v>3.2201324699295381E-3</v>
      </c>
      <c r="K43" s="138"/>
      <c r="L43" s="137" t="s">
        <v>6</v>
      </c>
      <c r="M43" s="177"/>
    </row>
    <row r="44" spans="1:13" x14ac:dyDescent="0.35">
      <c r="A44" s="176">
        <v>43</v>
      </c>
      <c r="B44" s="137">
        <v>125</v>
      </c>
      <c r="C44" s="137">
        <v>10.5</v>
      </c>
      <c r="D44" s="137"/>
      <c r="E44" s="137">
        <v>14</v>
      </c>
      <c r="F44" s="138">
        <v>16</v>
      </c>
      <c r="G44" s="138"/>
      <c r="H44" s="138"/>
      <c r="I44" s="138"/>
      <c r="J44" s="241">
        <f t="shared" si="0"/>
        <v>4.4159011737021532E-2</v>
      </c>
      <c r="K44" s="138"/>
      <c r="L44" s="137" t="s">
        <v>13</v>
      </c>
      <c r="M44" s="177" t="s">
        <v>84</v>
      </c>
    </row>
    <row r="45" spans="1:13" x14ac:dyDescent="0.35">
      <c r="A45" s="176">
        <v>44</v>
      </c>
      <c r="B45" s="137">
        <v>125</v>
      </c>
      <c r="C45" s="137">
        <v>8</v>
      </c>
      <c r="D45" s="137"/>
      <c r="E45" s="137">
        <v>6</v>
      </c>
      <c r="F45" s="138">
        <v>15</v>
      </c>
      <c r="G45" s="138"/>
      <c r="H45" s="138"/>
      <c r="I45" s="138"/>
      <c r="J45" s="241">
        <f t="shared" si="0"/>
        <v>2.552544031041707E-2</v>
      </c>
      <c r="K45" s="138"/>
      <c r="L45" s="137" t="s">
        <v>10</v>
      </c>
      <c r="M45" s="177"/>
    </row>
    <row r="46" spans="1:13" x14ac:dyDescent="0.35">
      <c r="A46" s="176">
        <v>45</v>
      </c>
      <c r="B46" s="137">
        <v>112</v>
      </c>
      <c r="C46" s="137">
        <v>2</v>
      </c>
      <c r="D46" s="137">
        <v>5</v>
      </c>
      <c r="E46" s="137"/>
      <c r="F46" s="138"/>
      <c r="G46" s="138"/>
      <c r="H46" s="138"/>
      <c r="I46" s="138"/>
      <c r="J46" s="241">
        <f t="shared" si="0"/>
        <v>2.2776546738526001E-3</v>
      </c>
      <c r="K46" s="138"/>
      <c r="L46" s="137" t="s">
        <v>6</v>
      </c>
      <c r="M46" s="177"/>
    </row>
    <row r="47" spans="1:13" ht="15" thickBot="1" x14ac:dyDescent="0.4">
      <c r="A47" s="229">
        <f>SUBTOTAL(103,Tabla22[número de árboles])</f>
        <v>45</v>
      </c>
      <c r="B47" s="229" t="s">
        <v>146</v>
      </c>
      <c r="C47" s="239">
        <f>SUBTOTAL(101,Tabla22[altura])</f>
        <v>7.677777777777778</v>
      </c>
      <c r="D47" s="330">
        <f>SUBTOTAL(101,Tabla22[diámetro])</f>
        <v>15.8125</v>
      </c>
      <c r="E47" s="239">
        <f>SUBTOTAL(101,Tabla22[Hermanado1])</f>
        <v>10.615384615384615</v>
      </c>
      <c r="F47" s="335">
        <f>SUBTOTAL(101,Tabla22[Hermanado2])</f>
        <v>11.384615384615385</v>
      </c>
      <c r="G47" s="335"/>
      <c r="H47" s="335"/>
      <c r="I47" s="335"/>
      <c r="J47" s="335"/>
      <c r="K47" s="335"/>
      <c r="L47" s="74"/>
      <c r="M47" s="36">
        <f>SUBTOTAL(103,Tabla22[observaciones])</f>
        <v>6</v>
      </c>
    </row>
    <row r="48" spans="1:13" ht="15" thickBot="1" x14ac:dyDescent="0.4">
      <c r="A48" s="5" t="s">
        <v>17</v>
      </c>
      <c r="B48" s="6"/>
      <c r="C48" s="6"/>
      <c r="D48" s="6"/>
      <c r="E48" s="6"/>
      <c r="F48" s="6"/>
      <c r="G48" s="6"/>
      <c r="H48" s="6"/>
      <c r="I48" s="8"/>
      <c r="J48" s="9"/>
    </row>
    <row r="49" spans="1:10" x14ac:dyDescent="0.35">
      <c r="A49" s="19" t="s">
        <v>53</v>
      </c>
    </row>
    <row r="50" spans="1:10" x14ac:dyDescent="0.35">
      <c r="A50" s="19"/>
    </row>
    <row r="51" spans="1:10" x14ac:dyDescent="0.35">
      <c r="A51" s="19" t="s">
        <v>54</v>
      </c>
    </row>
    <row r="52" spans="1:10" x14ac:dyDescent="0.35">
      <c r="A52" s="19"/>
    </row>
    <row r="54" spans="1:10" ht="15" thickBot="1" x14ac:dyDescent="0.4">
      <c r="A54" s="19" t="s">
        <v>64</v>
      </c>
    </row>
    <row r="55" spans="1:10" ht="15" thickBot="1" x14ac:dyDescent="0.4">
      <c r="A55" s="365" t="s">
        <v>51</v>
      </c>
      <c r="B55" s="366"/>
      <c r="C55" s="366"/>
      <c r="D55" s="366"/>
      <c r="E55" s="366"/>
      <c r="F55" s="366"/>
      <c r="G55" s="366"/>
      <c r="H55" s="366"/>
      <c r="I55" s="366"/>
      <c r="J55" s="367"/>
    </row>
    <row r="56" spans="1:10" ht="15" thickBot="1" x14ac:dyDescent="0.4">
      <c r="A56" s="19" t="s">
        <v>63</v>
      </c>
    </row>
    <row r="57" spans="1:10" ht="15" thickBot="1" x14ac:dyDescent="0.4">
      <c r="A57" s="365" t="s">
        <v>203</v>
      </c>
      <c r="B57" s="366"/>
      <c r="C57" s="366"/>
      <c r="D57" s="366"/>
      <c r="E57" s="366"/>
      <c r="F57" s="366"/>
      <c r="G57" s="366"/>
      <c r="H57" s="366"/>
      <c r="I57" s="366"/>
      <c r="J57" s="367"/>
    </row>
    <row r="58" spans="1:10" ht="15" thickBot="1" x14ac:dyDescent="0.4"/>
    <row r="59" spans="1:10" ht="15" thickBot="1" x14ac:dyDescent="0.4">
      <c r="A59" t="s">
        <v>128</v>
      </c>
      <c r="B59">
        <f>COUNT(Tabla22[[diámetro]:[Hermanado5]])</f>
        <v>59</v>
      </c>
      <c r="C59">
        <f>25*25</f>
        <v>625</v>
      </c>
      <c r="E59" s="55" t="s">
        <v>29</v>
      </c>
      <c r="F59" s="56"/>
      <c r="G59" s="29" t="s">
        <v>65</v>
      </c>
      <c r="H59" s="30"/>
      <c r="I59" s="28" t="s">
        <v>4</v>
      </c>
      <c r="J59" s="30"/>
    </row>
    <row r="60" spans="1:10" ht="15" thickBot="1" x14ac:dyDescent="0.4">
      <c r="B60">
        <f>B59*C60/C59</f>
        <v>944</v>
      </c>
      <c r="C60">
        <v>10000</v>
      </c>
      <c r="E60" s="52" t="s">
        <v>30</v>
      </c>
      <c r="F60" s="53" t="s">
        <v>31</v>
      </c>
      <c r="G60" s="43">
        <v>125</v>
      </c>
      <c r="H60" s="21" t="s">
        <v>23</v>
      </c>
      <c r="I60" s="13" t="s">
        <v>6</v>
      </c>
      <c r="J60" s="14" t="s">
        <v>58</v>
      </c>
    </row>
    <row r="61" spans="1:10" ht="21.5" thickBot="1" x14ac:dyDescent="0.55000000000000004">
      <c r="A61" s="27" t="s">
        <v>86</v>
      </c>
      <c r="B61" s="49" t="s">
        <v>28</v>
      </c>
      <c r="C61" s="10" t="s">
        <v>52</v>
      </c>
      <c r="D61" s="51" t="s">
        <v>147</v>
      </c>
      <c r="E61" s="48" t="s">
        <v>32</v>
      </c>
      <c r="F61" s="46" t="s">
        <v>33</v>
      </c>
      <c r="G61" s="44">
        <v>130</v>
      </c>
      <c r="H61" s="23" t="s">
        <v>25</v>
      </c>
      <c r="I61" s="15" t="s">
        <v>5</v>
      </c>
      <c r="J61" s="16" t="s">
        <v>59</v>
      </c>
    </row>
    <row r="62" spans="1:10" ht="15" thickBot="1" x14ac:dyDescent="0.4">
      <c r="A62" s="10"/>
      <c r="B62" s="12">
        <v>2</v>
      </c>
      <c r="C62" s="12">
        <v>1</v>
      </c>
      <c r="D62" s="10">
        <f>B60</f>
        <v>944</v>
      </c>
      <c r="E62" s="48" t="s">
        <v>34</v>
      </c>
      <c r="F62" s="46" t="s">
        <v>35</v>
      </c>
      <c r="G62" s="44">
        <v>46</v>
      </c>
      <c r="H62" s="23" t="s">
        <v>26</v>
      </c>
      <c r="I62" s="15" t="s">
        <v>13</v>
      </c>
      <c r="J62" s="16" t="s">
        <v>60</v>
      </c>
    </row>
    <row r="63" spans="1:10" x14ac:dyDescent="0.35">
      <c r="E63" s="45" t="s">
        <v>36</v>
      </c>
      <c r="F63" s="58" t="s">
        <v>37</v>
      </c>
      <c r="G63" s="44">
        <v>43</v>
      </c>
      <c r="H63" s="23" t="s">
        <v>27</v>
      </c>
      <c r="I63" s="15" t="s">
        <v>10</v>
      </c>
      <c r="J63" s="16" t="s">
        <v>61</v>
      </c>
    </row>
    <row r="64" spans="1:10" ht="15" thickBot="1" x14ac:dyDescent="0.4">
      <c r="E64" s="45" t="s">
        <v>16</v>
      </c>
      <c r="F64" s="46" t="s">
        <v>38</v>
      </c>
      <c r="G64" s="44">
        <v>23</v>
      </c>
      <c r="H64" s="23" t="s">
        <v>22</v>
      </c>
      <c r="I64" s="17" t="s">
        <v>12</v>
      </c>
      <c r="J64" s="18" t="s">
        <v>62</v>
      </c>
    </row>
    <row r="65" spans="5:8" x14ac:dyDescent="0.35">
      <c r="E65" s="45" t="s">
        <v>39</v>
      </c>
      <c r="F65" s="46" t="s">
        <v>40</v>
      </c>
      <c r="G65" s="44">
        <v>73</v>
      </c>
      <c r="H65" s="23" t="s">
        <v>24</v>
      </c>
    </row>
    <row r="66" spans="5:8" x14ac:dyDescent="0.35">
      <c r="E66" s="45" t="s">
        <v>41</v>
      </c>
      <c r="F66" s="46" t="s">
        <v>42</v>
      </c>
      <c r="G66" s="44">
        <v>87</v>
      </c>
      <c r="H66" s="23" t="s">
        <v>47</v>
      </c>
    </row>
    <row r="67" spans="5:8" x14ac:dyDescent="0.35">
      <c r="E67" s="45" t="s">
        <v>43</v>
      </c>
      <c r="F67" s="46" t="s">
        <v>44</v>
      </c>
      <c r="G67" s="44">
        <v>3</v>
      </c>
      <c r="H67" s="23" t="s">
        <v>48</v>
      </c>
    </row>
    <row r="68" spans="5:8" x14ac:dyDescent="0.35">
      <c r="E68" s="45" t="s">
        <v>45</v>
      </c>
      <c r="F68" s="47" t="s">
        <v>46</v>
      </c>
      <c r="G68" s="44">
        <v>82</v>
      </c>
      <c r="H68" s="23" t="s">
        <v>50</v>
      </c>
    </row>
    <row r="69" spans="5:8" x14ac:dyDescent="0.35">
      <c r="G69" s="22">
        <v>83</v>
      </c>
      <c r="H69" s="23" t="s">
        <v>49</v>
      </c>
    </row>
    <row r="70" spans="5:8" x14ac:dyDescent="0.35">
      <c r="G70" s="22">
        <v>42</v>
      </c>
      <c r="H70" s="23" t="s">
        <v>51</v>
      </c>
    </row>
    <row r="71" spans="5:8" x14ac:dyDescent="0.35">
      <c r="G71" s="22">
        <v>112</v>
      </c>
      <c r="H71" s="23" t="s">
        <v>66</v>
      </c>
    </row>
    <row r="72" spans="5:8" ht="15" thickBot="1" x14ac:dyDescent="0.4">
      <c r="G72" s="25">
        <v>113</v>
      </c>
      <c r="H72" s="26" t="s">
        <v>67</v>
      </c>
    </row>
    <row r="99" spans="1:10" x14ac:dyDescent="0.35">
      <c r="A99" s="240" t="s">
        <v>228</v>
      </c>
      <c r="B99" s="240" t="s">
        <v>206</v>
      </c>
      <c r="C99" s="240" t="s">
        <v>229</v>
      </c>
      <c r="D99" s="240" t="s">
        <v>142</v>
      </c>
      <c r="E99" s="240" t="s">
        <v>147</v>
      </c>
      <c r="F99" s="240" t="s">
        <v>225</v>
      </c>
      <c r="G99" s="240" t="s">
        <v>207</v>
      </c>
      <c r="H99" s="240" t="s">
        <v>231</v>
      </c>
      <c r="I99" s="240" t="s">
        <v>213</v>
      </c>
      <c r="J99" s="240" t="s">
        <v>215</v>
      </c>
    </row>
    <row r="100" spans="1:10" x14ac:dyDescent="0.35">
      <c r="A100" s="240" t="s">
        <v>212</v>
      </c>
      <c r="B100" s="240">
        <f>COUNTIF($D$2:$I$46,"&gt;=2,5")-COUNTIF($D$2:$I$46,"&gt;7,4")</f>
        <v>16</v>
      </c>
      <c r="C100" s="240">
        <v>5</v>
      </c>
      <c r="D100" s="240"/>
      <c r="E100" s="240">
        <f>(B100*10000)/625</f>
        <v>256</v>
      </c>
      <c r="F100" s="240">
        <f>(PI()/4)*(C100/100)^2</f>
        <v>1.9634954084936209E-3</v>
      </c>
      <c r="G100" s="240">
        <f>E100*F100</f>
        <v>0.50265482457436694</v>
      </c>
      <c r="H100" s="240"/>
      <c r="I100" s="240"/>
      <c r="J100" s="240"/>
    </row>
    <row r="101" spans="1:10" x14ac:dyDescent="0.35">
      <c r="A101" s="240" t="s">
        <v>211</v>
      </c>
      <c r="B101" s="240">
        <f>COUNTIF($D$2:$I$46,"&gt;=7,5")-COUNTIF($D$2:$I$46,"&gt;12,4")</f>
        <v>12</v>
      </c>
      <c r="C101" s="240">
        <v>10</v>
      </c>
      <c r="D101" s="240"/>
      <c r="E101" s="240">
        <f t="shared" ref="E101:E107" si="1">(B101*10000)/625</f>
        <v>192</v>
      </c>
      <c r="F101" s="240">
        <f t="shared" ref="F101:F107" si="2">(PI()/4)*(C101/100)^2</f>
        <v>7.8539816339744835E-3</v>
      </c>
      <c r="G101" s="240">
        <f t="shared" ref="G101:G107" si="3">E101*F101</f>
        <v>1.5079644737231008</v>
      </c>
      <c r="H101" s="240"/>
      <c r="I101" s="240"/>
      <c r="J101" s="240"/>
    </row>
    <row r="102" spans="1:10" x14ac:dyDescent="0.35">
      <c r="A102" s="240" t="s">
        <v>209</v>
      </c>
      <c r="B102" s="240">
        <f>COUNTIF($D$2:$I$46,"&gt;=12,5")-COUNTIF($D$2:$I$46,"&gt;17,4")</f>
        <v>10</v>
      </c>
      <c r="C102" s="240">
        <v>15</v>
      </c>
      <c r="D102" s="240"/>
      <c r="E102" s="240">
        <f t="shared" si="1"/>
        <v>160</v>
      </c>
      <c r="F102" s="240">
        <f t="shared" si="2"/>
        <v>1.7671458676442587E-2</v>
      </c>
      <c r="G102" s="240">
        <f t="shared" si="3"/>
        <v>2.8274333882308138</v>
      </c>
      <c r="H102" s="240"/>
      <c r="I102" s="240"/>
      <c r="J102" s="240"/>
    </row>
    <row r="103" spans="1:10" x14ac:dyDescent="0.35">
      <c r="A103" s="240" t="s">
        <v>208</v>
      </c>
      <c r="B103" s="240">
        <f>COUNTIF($D$2:$I$46,"&gt;=17,5")-COUNTIF($D$2:$I$46,"&gt;22,4")</f>
        <v>17</v>
      </c>
      <c r="C103" s="240">
        <v>20</v>
      </c>
      <c r="D103" s="240"/>
      <c r="E103" s="240">
        <f t="shared" si="1"/>
        <v>272</v>
      </c>
      <c r="F103" s="240">
        <f t="shared" si="2"/>
        <v>3.1415926535897934E-2</v>
      </c>
      <c r="G103" s="240">
        <f t="shared" si="3"/>
        <v>8.5451320177642387</v>
      </c>
      <c r="H103" s="240"/>
      <c r="I103" s="240"/>
      <c r="J103" s="240"/>
    </row>
    <row r="104" spans="1:10" x14ac:dyDescent="0.35">
      <c r="A104" s="240" t="s">
        <v>210</v>
      </c>
      <c r="B104" s="240">
        <f>COUNTIF($D$2:$I$46,"&gt;=22,5")-COUNTIF($D$2:$I$46,"&gt;27,4")</f>
        <v>4</v>
      </c>
      <c r="C104" s="240">
        <v>25</v>
      </c>
      <c r="D104" s="240"/>
      <c r="E104" s="240">
        <f t="shared" si="1"/>
        <v>64</v>
      </c>
      <c r="F104" s="240">
        <f t="shared" si="2"/>
        <v>4.9087385212340517E-2</v>
      </c>
      <c r="G104" s="240">
        <f t="shared" si="3"/>
        <v>3.1415926535897931</v>
      </c>
      <c r="H104" s="240"/>
      <c r="I104" s="240"/>
      <c r="J104" s="240"/>
    </row>
    <row r="105" spans="1:10" x14ac:dyDescent="0.35">
      <c r="A105" s="240" t="s">
        <v>221</v>
      </c>
      <c r="B105" s="240">
        <f>COUNTIF($D$2:$I$46,"&gt;=27,5")-COUNTIF($D$2:$I$46,"&gt;32,4")</f>
        <v>0</v>
      </c>
      <c r="C105" s="240">
        <v>30</v>
      </c>
      <c r="D105" s="240"/>
      <c r="E105" s="240">
        <f t="shared" si="1"/>
        <v>0</v>
      </c>
      <c r="F105" s="240">
        <f t="shared" si="2"/>
        <v>7.0685834705770348E-2</v>
      </c>
      <c r="G105" s="240">
        <f t="shared" si="3"/>
        <v>0</v>
      </c>
      <c r="H105" s="240"/>
      <c r="I105" s="240"/>
      <c r="J105" s="240"/>
    </row>
    <row r="106" spans="1:10" x14ac:dyDescent="0.35">
      <c r="A106" s="240" t="s">
        <v>222</v>
      </c>
      <c r="B106" s="240">
        <f>COUNTIF($D$2:$I$46,"&gt;=32,5")-COUNTIF($D$2:$I$46,"&gt;37,4")</f>
        <v>0</v>
      </c>
      <c r="C106" s="240">
        <v>35</v>
      </c>
      <c r="D106" s="240"/>
      <c r="E106" s="240">
        <f t="shared" si="1"/>
        <v>0</v>
      </c>
      <c r="F106" s="240">
        <f t="shared" si="2"/>
        <v>9.6211275016187398E-2</v>
      </c>
      <c r="G106" s="240">
        <f t="shared" si="3"/>
        <v>0</v>
      </c>
      <c r="H106" s="240"/>
      <c r="I106" s="240"/>
      <c r="J106" s="240"/>
    </row>
    <row r="107" spans="1:10" x14ac:dyDescent="0.35">
      <c r="A107" s="240" t="s">
        <v>223</v>
      </c>
      <c r="B107" s="240">
        <f>COUNTIF($D$2:$I$46,"&gt;=37,5")-COUNTIF($D$2:$I$46,"&gt;42,4")</f>
        <v>0</v>
      </c>
      <c r="C107" s="240">
        <v>40</v>
      </c>
      <c r="D107" s="240"/>
      <c r="E107" s="240">
        <f t="shared" si="1"/>
        <v>0</v>
      </c>
      <c r="F107" s="240">
        <f t="shared" si="2"/>
        <v>0.12566370614359174</v>
      </c>
      <c r="G107" s="240">
        <f t="shared" si="3"/>
        <v>0</v>
      </c>
      <c r="H107" s="240"/>
      <c r="I107" s="240"/>
      <c r="J107" s="240"/>
    </row>
    <row r="108" spans="1:10" x14ac:dyDescent="0.35">
      <c r="A108" s="353" t="s">
        <v>146</v>
      </c>
      <c r="B108" s="353">
        <f>SUBTOTAL(109,Tabla34[NÚMERO DE PIES])</f>
        <v>59</v>
      </c>
      <c r="C108" s="353">
        <f>SUBTOTAL(109,Tabla34[CLASE DIAMETRICA])</f>
        <v>180</v>
      </c>
      <c r="D108" s="353"/>
      <c r="E108" s="364">
        <f>SUBTOTAL(109,Tabla34[pies/ha])</f>
        <v>944</v>
      </c>
      <c r="F108" s="353">
        <f>SUBTOTAL(109,Tabla34[gn (m2)])</f>
        <v>0.40055306333269863</v>
      </c>
      <c r="G108" s="353">
        <f>SUBTOTAL(109,Tabla34[G (m2/ha.)])</f>
        <v>16.524777357882314</v>
      </c>
      <c r="H108" s="353"/>
      <c r="I108" s="353"/>
      <c r="J108" s="353">
        <f>SUBTOTAL(109,Tabla34[AB (m2) final])</f>
        <v>0</v>
      </c>
    </row>
  </sheetData>
  <mergeCells count="2">
    <mergeCell ref="A57:J57"/>
    <mergeCell ref="A55:J55"/>
  </mergeCells>
  <pageMargins left="0.7" right="0.7" top="0.75" bottom="0.75" header="0.3" footer="0.3"/>
  <pageSetup paperSize="8" scale="63" orientation="portrait" r:id="rId1"/>
  <headerFooter>
    <oddHeader>&amp;C
Parcela &amp;"-,Negrita"&amp;KC00000C2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100" zoomScale="110" zoomScaleNormal="100" zoomScalePageLayoutView="110" workbookViewId="0">
      <selection activeCell="B59" sqref="A59:XFD59"/>
    </sheetView>
  </sheetViews>
  <sheetFormatPr baseColWidth="10" defaultColWidth="8.7265625" defaultRowHeight="14.5" x14ac:dyDescent="0.35"/>
  <cols>
    <col min="1" max="1" width="20.1796875" customWidth="1"/>
    <col min="2" max="2" width="16.7265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1.08984375" customWidth="1"/>
    <col min="11" max="11" width="13.54296875" customWidth="1"/>
  </cols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s="2" t="s">
        <v>8</v>
      </c>
      <c r="F1" s="2" t="s">
        <v>7</v>
      </c>
      <c r="G1" s="2" t="s">
        <v>141</v>
      </c>
      <c r="H1" s="2" t="s">
        <v>9</v>
      </c>
      <c r="I1" s="33" t="s">
        <v>195</v>
      </c>
      <c r="J1" s="33" t="s">
        <v>239</v>
      </c>
      <c r="K1" s="33" t="s">
        <v>145</v>
      </c>
      <c r="L1" t="s">
        <v>4</v>
      </c>
      <c r="M1" t="s">
        <v>21</v>
      </c>
    </row>
    <row r="2" spans="1:13" x14ac:dyDescent="0.35">
      <c r="A2" s="137">
        <v>1</v>
      </c>
      <c r="B2" s="137">
        <v>125</v>
      </c>
      <c r="C2" s="137">
        <v>7</v>
      </c>
      <c r="D2" s="137">
        <v>12</v>
      </c>
      <c r="E2" s="137"/>
      <c r="F2" s="137"/>
      <c r="G2" s="137"/>
      <c r="H2" s="137"/>
      <c r="I2" s="137"/>
      <c r="J2" s="146">
        <f>PI()*(((C2)/2)/100)^2+PI()*(((D2)/2)/100)^2+PI()*(((E2)/2)/100)^2+PI()*(((F2)/2)/100)^2+PI()*(((G2)/2)/100)^2+PI()*(((H2)/2)/100)^2</f>
        <v>1.5158184553570752E-2</v>
      </c>
      <c r="K2" s="137"/>
      <c r="L2" s="137" t="s">
        <v>73</v>
      </c>
      <c r="M2" s="137"/>
    </row>
    <row r="3" spans="1:13" x14ac:dyDescent="0.35">
      <c r="A3" s="137">
        <v>2</v>
      </c>
      <c r="B3" s="137">
        <v>125</v>
      </c>
      <c r="C3" s="137">
        <v>8</v>
      </c>
      <c r="D3" s="137"/>
      <c r="E3" s="137">
        <v>18</v>
      </c>
      <c r="F3" s="137">
        <v>7</v>
      </c>
      <c r="G3" s="137"/>
      <c r="H3" s="137"/>
      <c r="I3" s="137"/>
      <c r="J3" s="146">
        <f>PI()*(((C3)/2)/100)^2+PI()*(((D3)/2)/100)^2+PI()*(((E3)/2)/100)^2+PI()*(((F3)/2)/100)^2+PI()*(((G3)/2)/100)^2+PI()*(((H3)/2)/100)^2</f>
        <v>3.4321899740468488E-2</v>
      </c>
      <c r="K3" s="137"/>
      <c r="L3" s="137" t="s">
        <v>73</v>
      </c>
      <c r="M3" s="137"/>
    </row>
    <row r="4" spans="1:13" x14ac:dyDescent="0.35">
      <c r="A4" s="137">
        <v>3</v>
      </c>
      <c r="B4" s="137">
        <v>125</v>
      </c>
      <c r="C4" s="137">
        <v>8</v>
      </c>
      <c r="D4" s="137">
        <v>21</v>
      </c>
      <c r="E4" s="137"/>
      <c r="F4" s="137"/>
      <c r="G4" s="137"/>
      <c r="H4" s="137"/>
      <c r="I4" s="137"/>
      <c r="J4" s="146">
        <f t="shared" ref="J4:J33" si="0">PI()*(((C4)/2)/100)^2+PI()*(((D4)/2)/100)^2+PI()*(((E4)/2)/100)^2+PI()*(((F4)/2)/100)^2+PI()*(((G4)/2)/100)^2+PI()*(((H4)/2)/100)^2</f>
        <v>3.9662607251571134E-2</v>
      </c>
      <c r="K4" s="137"/>
      <c r="L4" s="137" t="s">
        <v>73</v>
      </c>
      <c r="M4" s="137"/>
    </row>
    <row r="5" spans="1:13" x14ac:dyDescent="0.35">
      <c r="A5" s="137">
        <v>4</v>
      </c>
      <c r="B5" s="137">
        <v>125</v>
      </c>
      <c r="C5" s="137">
        <v>8</v>
      </c>
      <c r="D5" s="137">
        <v>16</v>
      </c>
      <c r="E5" s="137"/>
      <c r="F5" s="137"/>
      <c r="G5" s="137"/>
      <c r="H5" s="137"/>
      <c r="I5" s="137"/>
      <c r="J5" s="146">
        <f t="shared" si="0"/>
        <v>2.5132741228718343E-2</v>
      </c>
      <c r="K5" s="137"/>
      <c r="L5" s="137" t="s">
        <v>73</v>
      </c>
      <c r="M5" s="137"/>
    </row>
    <row r="6" spans="1:13" x14ac:dyDescent="0.35">
      <c r="A6" s="137">
        <v>5</v>
      </c>
      <c r="B6" s="137">
        <v>125</v>
      </c>
      <c r="C6" s="137">
        <v>8.5</v>
      </c>
      <c r="D6" s="137"/>
      <c r="E6" s="137">
        <v>13</v>
      </c>
      <c r="F6" s="137">
        <v>15</v>
      </c>
      <c r="G6" s="137">
        <v>14</v>
      </c>
      <c r="H6" s="137"/>
      <c r="I6" s="137"/>
      <c r="J6" s="146">
        <f t="shared" si="0"/>
        <v>5.2012993370996019E-2</v>
      </c>
      <c r="K6" s="137"/>
      <c r="L6" s="137" t="s">
        <v>76</v>
      </c>
      <c r="M6" s="137"/>
    </row>
    <row r="7" spans="1:13" x14ac:dyDescent="0.35">
      <c r="A7" s="137">
        <v>6</v>
      </c>
      <c r="B7" s="137">
        <v>125</v>
      </c>
      <c r="C7" s="137">
        <v>5</v>
      </c>
      <c r="D7" s="137">
        <v>12</v>
      </c>
      <c r="E7" s="137"/>
      <c r="F7" s="137"/>
      <c r="G7" s="137"/>
      <c r="H7" s="137"/>
      <c r="I7" s="137"/>
      <c r="J7" s="146">
        <f t="shared" si="0"/>
        <v>1.3273228961416875E-2</v>
      </c>
      <c r="K7" s="137"/>
      <c r="L7" s="137" t="s">
        <v>74</v>
      </c>
      <c r="M7" s="137"/>
    </row>
    <row r="8" spans="1:13" x14ac:dyDescent="0.35">
      <c r="A8" s="137">
        <v>7</v>
      </c>
      <c r="B8" s="137">
        <v>46</v>
      </c>
      <c r="C8" s="137">
        <v>3</v>
      </c>
      <c r="D8" s="137">
        <v>5</v>
      </c>
      <c r="E8" s="137"/>
      <c r="F8" s="137"/>
      <c r="G8" s="137"/>
      <c r="H8" s="137"/>
      <c r="I8" s="137"/>
      <c r="J8" s="146">
        <f t="shared" si="0"/>
        <v>2.6703537555513241E-3</v>
      </c>
      <c r="K8" s="137"/>
      <c r="L8" s="137" t="s">
        <v>74</v>
      </c>
      <c r="M8" s="137"/>
    </row>
    <row r="9" spans="1:13" x14ac:dyDescent="0.35">
      <c r="A9" s="137">
        <v>8</v>
      </c>
      <c r="B9" s="137">
        <v>125</v>
      </c>
      <c r="C9" s="137">
        <v>8.5</v>
      </c>
      <c r="D9" s="137"/>
      <c r="E9" s="137">
        <v>17</v>
      </c>
      <c r="F9" s="137">
        <v>14</v>
      </c>
      <c r="G9" s="137"/>
      <c r="H9" s="137"/>
      <c r="I9" s="137"/>
      <c r="J9" s="146">
        <f t="shared" si="0"/>
        <v>4.3766312655322812E-2</v>
      </c>
      <c r="K9" s="137"/>
      <c r="L9" s="137" t="s">
        <v>76</v>
      </c>
      <c r="M9" s="137"/>
    </row>
    <row r="10" spans="1:13" x14ac:dyDescent="0.35">
      <c r="A10" s="137">
        <v>9</v>
      </c>
      <c r="B10" s="137">
        <v>125</v>
      </c>
      <c r="C10" s="137">
        <v>8</v>
      </c>
      <c r="D10" s="137">
        <v>22</v>
      </c>
      <c r="E10" s="137"/>
      <c r="F10" s="137"/>
      <c r="G10" s="137"/>
      <c r="H10" s="137"/>
      <c r="I10" s="137"/>
      <c r="J10" s="146">
        <f t="shared" si="0"/>
        <v>4.3039819354180164E-2</v>
      </c>
      <c r="K10" s="137"/>
      <c r="L10" s="137" t="s">
        <v>76</v>
      </c>
      <c r="M10" s="137"/>
    </row>
    <row r="11" spans="1:13" x14ac:dyDescent="0.35">
      <c r="A11" s="137">
        <v>10</v>
      </c>
      <c r="B11" s="137">
        <v>125</v>
      </c>
      <c r="C11" s="137">
        <v>7.5</v>
      </c>
      <c r="D11" s="137">
        <v>12</v>
      </c>
      <c r="E11" s="137"/>
      <c r="F11" s="137"/>
      <c r="G11" s="137"/>
      <c r="H11" s="137"/>
      <c r="I11" s="137"/>
      <c r="J11" s="146">
        <f t="shared" si="0"/>
        <v>1.5727598222033901E-2</v>
      </c>
      <c r="K11" s="137"/>
      <c r="L11" s="137" t="s">
        <v>73</v>
      </c>
      <c r="M11" s="137"/>
    </row>
    <row r="12" spans="1:13" x14ac:dyDescent="0.35">
      <c r="A12" s="137">
        <v>11</v>
      </c>
      <c r="B12" s="137">
        <v>125</v>
      </c>
      <c r="C12" s="137">
        <v>8</v>
      </c>
      <c r="D12" s="137">
        <v>17</v>
      </c>
      <c r="E12" s="137"/>
      <c r="F12" s="137"/>
      <c r="G12" s="137"/>
      <c r="H12" s="137"/>
      <c r="I12" s="137"/>
      <c r="J12" s="146">
        <f t="shared" si="0"/>
        <v>2.7724555167929932E-2</v>
      </c>
      <c r="K12" s="137"/>
      <c r="L12" s="137" t="s">
        <v>73</v>
      </c>
      <c r="M12" s="137"/>
    </row>
    <row r="13" spans="1:13" x14ac:dyDescent="0.35">
      <c r="A13" s="137">
        <v>12</v>
      </c>
      <c r="B13" s="137">
        <v>125</v>
      </c>
      <c r="C13" s="137">
        <v>9</v>
      </c>
      <c r="D13" s="137">
        <v>23</v>
      </c>
      <c r="E13" s="137"/>
      <c r="F13" s="137"/>
      <c r="G13" s="137"/>
      <c r="H13" s="137"/>
      <c r="I13" s="137"/>
      <c r="J13" s="146">
        <f t="shared" si="0"/>
        <v>4.7909287967244349E-2</v>
      </c>
      <c r="K13" s="137"/>
      <c r="L13" s="137" t="s">
        <v>76</v>
      </c>
      <c r="M13" s="137"/>
    </row>
    <row r="14" spans="1:13" x14ac:dyDescent="0.35">
      <c r="A14" s="137">
        <v>13</v>
      </c>
      <c r="B14" s="137">
        <v>125</v>
      </c>
      <c r="C14" s="137">
        <v>9</v>
      </c>
      <c r="D14" s="137">
        <v>26</v>
      </c>
      <c r="E14" s="137"/>
      <c r="F14" s="137"/>
      <c r="G14" s="137"/>
      <c r="H14" s="137"/>
      <c r="I14" s="137"/>
      <c r="J14" s="146">
        <f t="shared" si="0"/>
        <v>5.9454640969186845E-2</v>
      </c>
      <c r="K14" s="137"/>
      <c r="L14" s="137" t="s">
        <v>78</v>
      </c>
      <c r="M14" s="137"/>
    </row>
    <row r="15" spans="1:13" x14ac:dyDescent="0.35">
      <c r="A15" s="137">
        <v>14</v>
      </c>
      <c r="B15" s="137">
        <v>125</v>
      </c>
      <c r="C15" s="137">
        <v>9</v>
      </c>
      <c r="D15" s="137">
        <v>15</v>
      </c>
      <c r="E15" s="137"/>
      <c r="F15" s="137"/>
      <c r="G15" s="137"/>
      <c r="H15" s="137"/>
      <c r="I15" s="137"/>
      <c r="J15" s="146">
        <f t="shared" si="0"/>
        <v>2.4033183799961916E-2</v>
      </c>
      <c r="K15" s="137"/>
      <c r="L15" s="137" t="s">
        <v>76</v>
      </c>
      <c r="M15" s="137"/>
    </row>
    <row r="16" spans="1:13" x14ac:dyDescent="0.35">
      <c r="A16" s="137">
        <v>15</v>
      </c>
      <c r="B16" s="137">
        <v>125</v>
      </c>
      <c r="C16" s="137">
        <v>7</v>
      </c>
      <c r="D16" s="137">
        <v>15</v>
      </c>
      <c r="E16" s="137"/>
      <c r="F16" s="137"/>
      <c r="G16" s="137"/>
      <c r="H16" s="137"/>
      <c r="I16" s="137"/>
      <c r="J16" s="146">
        <f t="shared" si="0"/>
        <v>2.1519909677090082E-2</v>
      </c>
      <c r="K16" s="137"/>
      <c r="L16" s="137" t="s">
        <v>74</v>
      </c>
      <c r="M16" s="137"/>
    </row>
    <row r="17" spans="1:13" x14ac:dyDescent="0.35">
      <c r="A17" s="137">
        <v>16</v>
      </c>
      <c r="B17" s="137">
        <v>125</v>
      </c>
      <c r="C17" s="137">
        <v>8.5</v>
      </c>
      <c r="D17" s="137">
        <v>14</v>
      </c>
      <c r="E17" s="137"/>
      <c r="F17" s="137"/>
      <c r="G17" s="137"/>
      <c r="H17" s="137"/>
      <c r="I17" s="137"/>
      <c r="J17" s="146">
        <f t="shared" si="0"/>
        <v>2.1068305733136554E-2</v>
      </c>
      <c r="K17" s="137"/>
      <c r="L17" s="137" t="s">
        <v>73</v>
      </c>
      <c r="M17" s="137"/>
    </row>
    <row r="18" spans="1:13" x14ac:dyDescent="0.35">
      <c r="A18" s="137">
        <v>17</v>
      </c>
      <c r="B18" s="137">
        <v>125</v>
      </c>
      <c r="C18" s="137">
        <v>9</v>
      </c>
      <c r="D18" s="137"/>
      <c r="E18" s="137">
        <v>8</v>
      </c>
      <c r="F18" s="137">
        <v>19</v>
      </c>
      <c r="G18" s="137"/>
      <c r="H18" s="137"/>
      <c r="I18" s="137"/>
      <c r="J18" s="146">
        <f t="shared" si="0"/>
        <v>3.9741147067910883E-2</v>
      </c>
      <c r="K18" s="137"/>
      <c r="L18" s="137" t="s">
        <v>73</v>
      </c>
      <c r="M18" s="227" t="s">
        <v>92</v>
      </c>
    </row>
    <row r="19" spans="1:13" x14ac:dyDescent="0.35">
      <c r="A19" s="137">
        <v>18</v>
      </c>
      <c r="B19" s="137">
        <v>125</v>
      </c>
      <c r="C19" s="137">
        <v>5</v>
      </c>
      <c r="D19" s="137">
        <v>10</v>
      </c>
      <c r="E19" s="137"/>
      <c r="F19" s="137"/>
      <c r="G19" s="137"/>
      <c r="H19" s="137"/>
      <c r="I19" s="137"/>
      <c r="J19" s="146">
        <f t="shared" si="0"/>
        <v>9.8174770424681035E-3</v>
      </c>
      <c r="K19" s="137"/>
      <c r="L19" s="137" t="s">
        <v>74</v>
      </c>
      <c r="M19" s="137"/>
    </row>
    <row r="20" spans="1:13" x14ac:dyDescent="0.35">
      <c r="A20" s="137">
        <v>19</v>
      </c>
      <c r="B20" s="137">
        <v>125</v>
      </c>
      <c r="C20" s="137">
        <v>9.5</v>
      </c>
      <c r="D20" s="137">
        <v>22</v>
      </c>
      <c r="E20" s="137"/>
      <c r="F20" s="137"/>
      <c r="G20" s="137"/>
      <c r="H20" s="137"/>
      <c r="I20" s="137"/>
      <c r="J20" s="146">
        <f t="shared" si="0"/>
        <v>4.510148953309847E-2</v>
      </c>
      <c r="K20" s="137"/>
      <c r="L20" s="137" t="s">
        <v>78</v>
      </c>
      <c r="M20" s="137"/>
    </row>
    <row r="21" spans="1:13" x14ac:dyDescent="0.35">
      <c r="A21" s="137">
        <v>20</v>
      </c>
      <c r="B21" s="137">
        <v>125</v>
      </c>
      <c r="C21" s="137">
        <v>10</v>
      </c>
      <c r="D21" s="137">
        <v>23</v>
      </c>
      <c r="E21" s="137"/>
      <c r="F21" s="137"/>
      <c r="G21" s="137"/>
      <c r="H21" s="137"/>
      <c r="I21" s="137"/>
      <c r="J21" s="146">
        <f t="shared" si="0"/>
        <v>4.9401544477699497E-2</v>
      </c>
      <c r="K21" s="137"/>
      <c r="L21" s="137" t="s">
        <v>78</v>
      </c>
      <c r="M21" s="137"/>
    </row>
    <row r="22" spans="1:13" x14ac:dyDescent="0.35">
      <c r="A22" s="137">
        <v>21</v>
      </c>
      <c r="B22" s="137">
        <v>125</v>
      </c>
      <c r="C22" s="137">
        <v>8</v>
      </c>
      <c r="D22" s="137"/>
      <c r="E22" s="137">
        <v>8</v>
      </c>
      <c r="F22" s="137">
        <v>17</v>
      </c>
      <c r="G22" s="137"/>
      <c r="H22" s="137"/>
      <c r="I22" s="137"/>
      <c r="J22" s="146">
        <f t="shared" si="0"/>
        <v>3.2751103413673599E-2</v>
      </c>
      <c r="K22" s="137"/>
      <c r="L22" s="137" t="s">
        <v>73</v>
      </c>
      <c r="M22" s="137"/>
    </row>
    <row r="23" spans="1:13" x14ac:dyDescent="0.35">
      <c r="A23" s="137">
        <v>22</v>
      </c>
      <c r="B23" s="137">
        <v>46</v>
      </c>
      <c r="C23" s="137">
        <v>9.5</v>
      </c>
      <c r="D23" s="137">
        <v>22</v>
      </c>
      <c r="E23" s="137"/>
      <c r="F23" s="137"/>
      <c r="G23" s="137"/>
      <c r="H23" s="137"/>
      <c r="I23" s="137"/>
      <c r="J23" s="146">
        <f t="shared" si="0"/>
        <v>4.510148953309847E-2</v>
      </c>
      <c r="K23" s="137"/>
      <c r="L23" s="137" t="s">
        <v>76</v>
      </c>
      <c r="M23" s="137"/>
    </row>
    <row r="24" spans="1:13" x14ac:dyDescent="0.35">
      <c r="A24" s="137">
        <v>23</v>
      </c>
      <c r="B24" s="137">
        <v>125</v>
      </c>
      <c r="C24" s="137">
        <v>2</v>
      </c>
      <c r="D24" s="137">
        <v>15</v>
      </c>
      <c r="E24" s="137"/>
      <c r="F24" s="137"/>
      <c r="G24" s="137"/>
      <c r="H24" s="137"/>
      <c r="I24" s="137"/>
      <c r="J24" s="146">
        <f t="shared" si="0"/>
        <v>1.7985617941801566E-2</v>
      </c>
      <c r="K24" s="137"/>
      <c r="L24" s="137"/>
      <c r="M24" s="137" t="s">
        <v>84</v>
      </c>
    </row>
    <row r="25" spans="1:13" x14ac:dyDescent="0.35">
      <c r="A25" s="137">
        <v>24</v>
      </c>
      <c r="B25" s="137">
        <v>125</v>
      </c>
      <c r="C25" s="137">
        <v>10</v>
      </c>
      <c r="D25" s="137">
        <v>27</v>
      </c>
      <c r="E25" s="137"/>
      <c r="F25" s="137"/>
      <c r="G25" s="137"/>
      <c r="H25" s="137"/>
      <c r="I25" s="137"/>
      <c r="J25" s="146">
        <f t="shared" si="0"/>
        <v>6.5109507745648471E-2</v>
      </c>
      <c r="K25" s="137"/>
      <c r="L25" s="137" t="s">
        <v>78</v>
      </c>
      <c r="M25" s="137"/>
    </row>
    <row r="26" spans="1:13" x14ac:dyDescent="0.35">
      <c r="A26" s="137">
        <v>25</v>
      </c>
      <c r="B26" s="137">
        <v>112</v>
      </c>
      <c r="C26" s="137">
        <v>7</v>
      </c>
      <c r="D26" s="137"/>
      <c r="E26" s="137">
        <v>11</v>
      </c>
      <c r="F26" s="137">
        <v>6</v>
      </c>
      <c r="G26" s="137">
        <v>11</v>
      </c>
      <c r="H26" s="137">
        <v>17</v>
      </c>
      <c r="I26" s="137"/>
      <c r="J26" s="146">
        <f t="shared" si="0"/>
        <v>4.8380526865282825E-2</v>
      </c>
      <c r="K26" s="137"/>
      <c r="L26" s="137" t="s">
        <v>74</v>
      </c>
      <c r="M26" s="137" t="s">
        <v>132</v>
      </c>
    </row>
    <row r="27" spans="1:13" x14ac:dyDescent="0.35">
      <c r="A27" s="137">
        <v>26</v>
      </c>
      <c r="B27" s="137">
        <v>46</v>
      </c>
      <c r="C27" s="137">
        <v>10</v>
      </c>
      <c r="D27" s="137">
        <v>22</v>
      </c>
      <c r="E27" s="137"/>
      <c r="F27" s="137"/>
      <c r="G27" s="137"/>
      <c r="H27" s="137"/>
      <c r="I27" s="137"/>
      <c r="J27" s="146">
        <f t="shared" si="0"/>
        <v>4.5867252742410977E-2</v>
      </c>
      <c r="K27" s="137"/>
      <c r="L27" s="137" t="s">
        <v>76</v>
      </c>
      <c r="M27" s="137"/>
    </row>
    <row r="28" spans="1:13" x14ac:dyDescent="0.35">
      <c r="A28" s="137">
        <v>27</v>
      </c>
      <c r="B28" s="137">
        <v>125</v>
      </c>
      <c r="C28" s="137">
        <v>7</v>
      </c>
      <c r="D28" s="137"/>
      <c r="E28" s="137">
        <v>4</v>
      </c>
      <c r="F28" s="137">
        <v>10</v>
      </c>
      <c r="G28" s="137"/>
      <c r="H28" s="137"/>
      <c r="I28" s="137"/>
      <c r="J28" s="146">
        <f t="shared" si="0"/>
        <v>1.2959069696057897E-2</v>
      </c>
      <c r="K28" s="137"/>
      <c r="L28" s="137" t="s">
        <v>74</v>
      </c>
      <c r="M28" s="137"/>
    </row>
    <row r="29" spans="1:13" x14ac:dyDescent="0.35">
      <c r="A29" s="137">
        <v>28</v>
      </c>
      <c r="B29" s="137">
        <v>125</v>
      </c>
      <c r="C29" s="137">
        <v>10</v>
      </c>
      <c r="D29" s="137"/>
      <c r="E29" s="137">
        <v>7</v>
      </c>
      <c r="F29" s="137">
        <v>21</v>
      </c>
      <c r="G29" s="137"/>
      <c r="H29" s="137"/>
      <c r="I29" s="137"/>
      <c r="J29" s="146">
        <f t="shared" si="0"/>
        <v>4.6338491640449446E-2</v>
      </c>
      <c r="K29" s="137"/>
      <c r="L29" s="137" t="s">
        <v>76</v>
      </c>
      <c r="M29" s="137" t="s">
        <v>16</v>
      </c>
    </row>
    <row r="30" spans="1:13" x14ac:dyDescent="0.35">
      <c r="A30" s="137">
        <v>29</v>
      </c>
      <c r="B30" s="137">
        <v>125</v>
      </c>
      <c r="C30" s="137">
        <v>9.5</v>
      </c>
      <c r="D30" s="137"/>
      <c r="E30" s="137">
        <v>20</v>
      </c>
      <c r="F30" s="137">
        <v>7</v>
      </c>
      <c r="G30" s="137"/>
      <c r="H30" s="137"/>
      <c r="I30" s="137"/>
      <c r="J30" s="146">
        <f t="shared" si="0"/>
        <v>4.2352595961207405E-2</v>
      </c>
      <c r="K30" s="137"/>
      <c r="L30" s="137" t="s">
        <v>76</v>
      </c>
      <c r="M30" s="137"/>
    </row>
    <row r="31" spans="1:13" x14ac:dyDescent="0.35">
      <c r="A31" s="137">
        <v>30</v>
      </c>
      <c r="B31" s="137">
        <v>125</v>
      </c>
      <c r="C31" s="137">
        <v>9</v>
      </c>
      <c r="D31" s="137">
        <v>16</v>
      </c>
      <c r="E31" s="137"/>
      <c r="F31" s="137"/>
      <c r="G31" s="137"/>
      <c r="H31" s="137"/>
      <c r="I31" s="137"/>
      <c r="J31" s="146">
        <f t="shared" si="0"/>
        <v>2.6467918106494008E-2</v>
      </c>
      <c r="K31" s="137"/>
      <c r="L31" s="137" t="s">
        <v>73</v>
      </c>
      <c r="M31" s="137"/>
    </row>
    <row r="32" spans="1:13" x14ac:dyDescent="0.35">
      <c r="A32" s="137">
        <v>31</v>
      </c>
      <c r="B32" s="137">
        <v>46</v>
      </c>
      <c r="C32" s="137">
        <v>2</v>
      </c>
      <c r="D32" s="137">
        <v>7</v>
      </c>
      <c r="E32" s="137"/>
      <c r="F32" s="137"/>
      <c r="G32" s="137"/>
      <c r="H32" s="137"/>
      <c r="I32" s="137"/>
      <c r="J32" s="146">
        <f t="shared" si="0"/>
        <v>4.1626102660064761E-3</v>
      </c>
      <c r="K32" s="137"/>
      <c r="L32" s="137" t="s">
        <v>74</v>
      </c>
      <c r="M32" s="137"/>
    </row>
    <row r="33" spans="1:13" x14ac:dyDescent="0.35">
      <c r="A33" s="137">
        <v>32</v>
      </c>
      <c r="B33" s="137">
        <v>46</v>
      </c>
      <c r="C33" s="137">
        <v>2</v>
      </c>
      <c r="D33" s="137">
        <v>7</v>
      </c>
      <c r="E33" s="137"/>
      <c r="F33" s="137"/>
      <c r="G33" s="137"/>
      <c r="H33" s="137"/>
      <c r="I33" s="137"/>
      <c r="J33" s="146">
        <f t="shared" si="0"/>
        <v>4.1626102660064761E-3</v>
      </c>
      <c r="K33" s="137"/>
      <c r="L33" s="137" t="s">
        <v>74</v>
      </c>
      <c r="M33" s="137"/>
    </row>
    <row r="34" spans="1:13" x14ac:dyDescent="0.35">
      <c r="A34" s="137">
        <v>33</v>
      </c>
      <c r="B34" s="137">
        <v>46</v>
      </c>
      <c r="C34" s="137">
        <v>2</v>
      </c>
      <c r="D34" s="137">
        <v>7</v>
      </c>
      <c r="E34" s="137"/>
      <c r="F34" s="137"/>
      <c r="G34" s="137"/>
      <c r="H34" s="137"/>
      <c r="I34" s="137"/>
      <c r="J34" s="146">
        <f t="shared" ref="J34:J59" si="1">PI()*(((C34)/2)/100)^2+PI()*(((D34)/2)/100)^2+PI()*(((E34)/2)/100)^2+PI()*(((F34)/2)/100)^2+PI()*(((G34)/2)/100)^2+PI()*(((H34)/2)/100)^2</f>
        <v>4.1626102660064761E-3</v>
      </c>
      <c r="K34" s="137"/>
      <c r="L34" s="137" t="s">
        <v>74</v>
      </c>
      <c r="M34" s="137"/>
    </row>
    <row r="35" spans="1:13" x14ac:dyDescent="0.35">
      <c r="A35" s="137">
        <v>34</v>
      </c>
      <c r="B35" s="137">
        <v>112</v>
      </c>
      <c r="C35" s="137">
        <v>2</v>
      </c>
      <c r="D35" s="137">
        <v>7</v>
      </c>
      <c r="E35" s="137"/>
      <c r="F35" s="137"/>
      <c r="G35" s="137"/>
      <c r="H35" s="137"/>
      <c r="I35" s="137"/>
      <c r="J35" s="146">
        <f t="shared" si="1"/>
        <v>4.1626102660064761E-3</v>
      </c>
      <c r="K35" s="137"/>
      <c r="L35" s="137" t="s">
        <v>94</v>
      </c>
      <c r="M35" s="137"/>
    </row>
    <row r="36" spans="1:13" x14ac:dyDescent="0.35">
      <c r="A36" s="137">
        <v>35</v>
      </c>
      <c r="B36" s="137">
        <v>125</v>
      </c>
      <c r="C36" s="137">
        <v>9.5</v>
      </c>
      <c r="D36" s="137"/>
      <c r="E36" s="137">
        <v>18</v>
      </c>
      <c r="F36" s="137">
        <v>19</v>
      </c>
      <c r="G36" s="137"/>
      <c r="H36" s="137"/>
      <c r="I36" s="137"/>
      <c r="J36" s="146">
        <f t="shared" si="1"/>
        <v>6.0887992617387178E-2</v>
      </c>
      <c r="K36" s="137"/>
      <c r="L36" s="137" t="s">
        <v>76</v>
      </c>
      <c r="M36" s="137"/>
    </row>
    <row r="37" spans="1:13" x14ac:dyDescent="0.35">
      <c r="A37" s="137">
        <v>36</v>
      </c>
      <c r="B37" s="137">
        <v>46</v>
      </c>
      <c r="C37" s="137">
        <v>2.5</v>
      </c>
      <c r="D37" s="137">
        <v>5</v>
      </c>
      <c r="E37" s="137"/>
      <c r="F37" s="137"/>
      <c r="G37" s="137"/>
      <c r="H37" s="137"/>
      <c r="I37" s="137"/>
      <c r="J37" s="146">
        <f t="shared" si="1"/>
        <v>2.4543692606170259E-3</v>
      </c>
      <c r="K37" s="137"/>
      <c r="L37" s="137" t="s">
        <v>94</v>
      </c>
      <c r="M37" s="137"/>
    </row>
    <row r="38" spans="1:13" x14ac:dyDescent="0.35">
      <c r="A38" s="137">
        <v>37</v>
      </c>
      <c r="B38" s="137">
        <v>125</v>
      </c>
      <c r="C38" s="137">
        <v>9</v>
      </c>
      <c r="D38" s="137">
        <v>20</v>
      </c>
      <c r="E38" s="137"/>
      <c r="F38" s="137"/>
      <c r="G38" s="137"/>
      <c r="H38" s="137"/>
      <c r="I38" s="137"/>
      <c r="J38" s="146">
        <f t="shared" si="1"/>
        <v>3.7777651659417266E-2</v>
      </c>
      <c r="K38" s="137"/>
      <c r="L38" s="137" t="s">
        <v>76</v>
      </c>
      <c r="M38" s="137"/>
    </row>
    <row r="39" spans="1:13" x14ac:dyDescent="0.35">
      <c r="A39" s="137">
        <v>38</v>
      </c>
      <c r="B39" s="137">
        <v>125</v>
      </c>
      <c r="C39" s="137">
        <v>10</v>
      </c>
      <c r="D39" s="137">
        <v>24</v>
      </c>
      <c r="E39" s="137"/>
      <c r="F39" s="137"/>
      <c r="G39" s="137"/>
      <c r="H39" s="137"/>
      <c r="I39" s="137"/>
      <c r="J39" s="146">
        <f t="shared" si="1"/>
        <v>5.3092915845667499E-2</v>
      </c>
      <c r="K39" s="137"/>
      <c r="L39" s="137" t="s">
        <v>78</v>
      </c>
      <c r="M39" s="137" t="s">
        <v>77</v>
      </c>
    </row>
    <row r="40" spans="1:13" x14ac:dyDescent="0.35">
      <c r="A40" s="137">
        <v>39</v>
      </c>
      <c r="B40" s="137">
        <v>125</v>
      </c>
      <c r="C40" s="137">
        <v>8.5</v>
      </c>
      <c r="D40" s="137"/>
      <c r="E40" s="137">
        <v>15</v>
      </c>
      <c r="F40" s="137">
        <v>15</v>
      </c>
      <c r="G40" s="137"/>
      <c r="H40" s="137"/>
      <c r="I40" s="137"/>
      <c r="J40" s="146">
        <f t="shared" si="1"/>
        <v>4.101741908343174E-2</v>
      </c>
      <c r="K40" s="137"/>
      <c r="L40" s="137" t="s">
        <v>76</v>
      </c>
      <c r="M40" s="137"/>
    </row>
    <row r="41" spans="1:13" x14ac:dyDescent="0.35">
      <c r="A41" s="137">
        <v>40</v>
      </c>
      <c r="B41" s="137">
        <v>46</v>
      </c>
      <c r="C41" s="137">
        <v>3</v>
      </c>
      <c r="D41" s="137">
        <v>6</v>
      </c>
      <c r="E41" s="137"/>
      <c r="F41" s="137"/>
      <c r="G41" s="137"/>
      <c r="H41" s="137"/>
      <c r="I41" s="137"/>
      <c r="J41" s="146">
        <f t="shared" si="1"/>
        <v>3.5342917352885169E-3</v>
      </c>
      <c r="K41" s="137"/>
      <c r="L41" s="137" t="s">
        <v>95</v>
      </c>
      <c r="M41" s="137"/>
    </row>
    <row r="42" spans="1:13" x14ac:dyDescent="0.35">
      <c r="A42" s="137">
        <v>41</v>
      </c>
      <c r="B42" s="137">
        <v>125</v>
      </c>
      <c r="C42" s="137">
        <v>7</v>
      </c>
      <c r="D42" s="137"/>
      <c r="E42" s="137">
        <v>10</v>
      </c>
      <c r="F42" s="137">
        <v>12</v>
      </c>
      <c r="G42" s="137"/>
      <c r="H42" s="137"/>
      <c r="I42" s="137"/>
      <c r="J42" s="146">
        <f t="shared" si="1"/>
        <v>2.3012166187545237E-2</v>
      </c>
      <c r="K42" s="137"/>
      <c r="L42" s="137"/>
      <c r="M42" s="137" t="s">
        <v>133</v>
      </c>
    </row>
    <row r="43" spans="1:13" x14ac:dyDescent="0.35">
      <c r="A43" s="137">
        <v>42</v>
      </c>
      <c r="B43" s="137">
        <v>125</v>
      </c>
      <c r="C43" s="137">
        <v>9</v>
      </c>
      <c r="D43" s="137"/>
      <c r="E43" s="137">
        <v>12</v>
      </c>
      <c r="F43" s="137">
        <v>13</v>
      </c>
      <c r="G43" s="137"/>
      <c r="H43" s="137"/>
      <c r="I43" s="137"/>
      <c r="J43" s="146">
        <f t="shared" si="1"/>
        <v>3.0944687637859462E-2</v>
      </c>
      <c r="K43" s="137"/>
      <c r="L43" s="137"/>
      <c r="M43" s="137" t="s">
        <v>134</v>
      </c>
    </row>
    <row r="44" spans="1:13" x14ac:dyDescent="0.35">
      <c r="A44" s="137">
        <v>43</v>
      </c>
      <c r="B44" s="137">
        <v>46</v>
      </c>
      <c r="C44" s="137">
        <v>5</v>
      </c>
      <c r="D44" s="137">
        <v>9</v>
      </c>
      <c r="E44" s="137"/>
      <c r="F44" s="137"/>
      <c r="G44" s="137"/>
      <c r="H44" s="137"/>
      <c r="I44" s="137"/>
      <c r="J44" s="146">
        <f t="shared" si="1"/>
        <v>8.3252205320129523E-3</v>
      </c>
      <c r="K44" s="137"/>
      <c r="L44" s="137" t="s">
        <v>74</v>
      </c>
      <c r="M44" s="137" t="s">
        <v>96</v>
      </c>
    </row>
    <row r="45" spans="1:13" x14ac:dyDescent="0.35">
      <c r="A45" s="137">
        <v>44</v>
      </c>
      <c r="B45" s="137">
        <v>46</v>
      </c>
      <c r="C45" s="137">
        <v>1.5</v>
      </c>
      <c r="D45" s="137">
        <v>5</v>
      </c>
      <c r="E45" s="137"/>
      <c r="F45" s="137"/>
      <c r="G45" s="137"/>
      <c r="H45" s="137"/>
      <c r="I45" s="137"/>
      <c r="J45" s="146">
        <f t="shared" si="1"/>
        <v>2.1402099952580467E-3</v>
      </c>
      <c r="K45" s="137"/>
      <c r="L45" s="137" t="s">
        <v>94</v>
      </c>
      <c r="M45" s="137"/>
    </row>
    <row r="46" spans="1:13" x14ac:dyDescent="0.35">
      <c r="A46" s="137">
        <v>45</v>
      </c>
      <c r="B46" s="137">
        <v>46</v>
      </c>
      <c r="C46" s="137">
        <v>1.5</v>
      </c>
      <c r="D46" s="137">
        <v>5</v>
      </c>
      <c r="E46" s="137"/>
      <c r="F46" s="137"/>
      <c r="G46" s="137"/>
      <c r="H46" s="137"/>
      <c r="I46" s="137"/>
      <c r="J46" s="146">
        <f t="shared" si="1"/>
        <v>2.1402099952580467E-3</v>
      </c>
      <c r="K46" s="137"/>
      <c r="L46" s="137" t="s">
        <v>95</v>
      </c>
      <c r="M46" s="137"/>
    </row>
    <row r="47" spans="1:13" x14ac:dyDescent="0.35">
      <c r="A47" s="137">
        <v>46</v>
      </c>
      <c r="B47" s="137">
        <v>125</v>
      </c>
      <c r="C47" s="137">
        <v>4</v>
      </c>
      <c r="D47" s="137"/>
      <c r="E47" s="137">
        <v>10</v>
      </c>
      <c r="F47" s="137">
        <v>8</v>
      </c>
      <c r="G47" s="137"/>
      <c r="H47" s="137"/>
      <c r="I47" s="137"/>
      <c r="J47" s="146">
        <f t="shared" si="1"/>
        <v>1.4137166941154069E-2</v>
      </c>
      <c r="K47" s="137"/>
      <c r="L47" s="137" t="s">
        <v>74</v>
      </c>
      <c r="M47" s="137" t="s">
        <v>97</v>
      </c>
    </row>
    <row r="48" spans="1:13" x14ac:dyDescent="0.35">
      <c r="A48" s="137">
        <v>47</v>
      </c>
      <c r="B48" s="137">
        <v>46</v>
      </c>
      <c r="C48" s="137">
        <v>4</v>
      </c>
      <c r="D48" s="137">
        <v>9</v>
      </c>
      <c r="E48" s="137"/>
      <c r="F48" s="137"/>
      <c r="G48" s="137"/>
      <c r="H48" s="137"/>
      <c r="I48" s="137"/>
      <c r="J48" s="146">
        <f t="shared" si="1"/>
        <v>7.6183621849552473E-3</v>
      </c>
      <c r="K48" s="137"/>
      <c r="L48" s="137" t="s">
        <v>94</v>
      </c>
      <c r="M48" s="137"/>
    </row>
    <row r="49" spans="1:13" x14ac:dyDescent="0.35">
      <c r="A49" s="137">
        <v>48</v>
      </c>
      <c r="B49" s="137">
        <v>125</v>
      </c>
      <c r="C49" s="137">
        <v>7.5</v>
      </c>
      <c r="D49" s="137">
        <v>14</v>
      </c>
      <c r="E49" s="137"/>
      <c r="F49" s="137"/>
      <c r="G49" s="137"/>
      <c r="H49" s="137"/>
      <c r="I49" s="137"/>
      <c r="J49" s="146">
        <f t="shared" si="1"/>
        <v>1.9811668671700634E-2</v>
      </c>
      <c r="K49" s="137"/>
      <c r="L49" s="137" t="s">
        <v>74</v>
      </c>
      <c r="M49" s="137"/>
    </row>
    <row r="50" spans="1:13" x14ac:dyDescent="0.35">
      <c r="A50" s="137">
        <v>49</v>
      </c>
      <c r="B50" s="137">
        <v>125</v>
      </c>
      <c r="C50" s="137">
        <v>8</v>
      </c>
      <c r="D50" s="137"/>
      <c r="E50" s="137">
        <v>15</v>
      </c>
      <c r="F50" s="137">
        <v>13</v>
      </c>
      <c r="G50" s="137"/>
      <c r="H50" s="137"/>
      <c r="I50" s="137"/>
      <c r="J50" s="146">
        <f t="shared" si="1"/>
        <v>3.5971235883603139E-2</v>
      </c>
      <c r="K50" s="137"/>
      <c r="L50" s="137" t="s">
        <v>73</v>
      </c>
      <c r="M50" s="137" t="s">
        <v>97</v>
      </c>
    </row>
    <row r="51" spans="1:13" x14ac:dyDescent="0.35">
      <c r="A51" s="137">
        <v>50</v>
      </c>
      <c r="B51" s="137">
        <v>46</v>
      </c>
      <c r="C51" s="137">
        <v>3</v>
      </c>
      <c r="D51" s="137">
        <v>6</v>
      </c>
      <c r="E51" s="137"/>
      <c r="F51" s="137"/>
      <c r="G51" s="137"/>
      <c r="H51" s="137"/>
      <c r="I51" s="137"/>
      <c r="J51" s="146">
        <f t="shared" si="1"/>
        <v>3.5342917352885169E-3</v>
      </c>
      <c r="K51" s="137"/>
      <c r="L51" s="137" t="s">
        <v>95</v>
      </c>
      <c r="M51" s="137"/>
    </row>
    <row r="52" spans="1:13" x14ac:dyDescent="0.35">
      <c r="A52" s="137">
        <v>51</v>
      </c>
      <c r="B52" s="137">
        <v>125</v>
      </c>
      <c r="C52" s="137">
        <v>8</v>
      </c>
      <c r="D52" s="137"/>
      <c r="E52" s="137">
        <v>7</v>
      </c>
      <c r="F52" s="137">
        <v>22</v>
      </c>
      <c r="G52" s="137"/>
      <c r="H52" s="137"/>
      <c r="I52" s="137"/>
      <c r="J52" s="146">
        <f t="shared" si="1"/>
        <v>4.6888270354827663E-2</v>
      </c>
      <c r="K52" s="137"/>
      <c r="L52" s="137" t="s">
        <v>73</v>
      </c>
      <c r="M52" s="137"/>
    </row>
    <row r="53" spans="1:13" x14ac:dyDescent="0.35">
      <c r="A53" s="137">
        <v>52</v>
      </c>
      <c r="B53" s="137">
        <v>125</v>
      </c>
      <c r="C53" s="137">
        <v>9</v>
      </c>
      <c r="D53" s="137">
        <v>18</v>
      </c>
      <c r="E53" s="137"/>
      <c r="F53" s="137"/>
      <c r="G53" s="137"/>
      <c r="H53" s="137"/>
      <c r="I53" s="137"/>
      <c r="J53" s="146">
        <f t="shared" si="1"/>
        <v>3.1808625617596654E-2</v>
      </c>
      <c r="K53" s="137"/>
      <c r="L53" s="137" t="s">
        <v>76</v>
      </c>
      <c r="M53" s="137"/>
    </row>
    <row r="54" spans="1:13" x14ac:dyDescent="0.35">
      <c r="A54" s="137">
        <v>53</v>
      </c>
      <c r="B54" s="137">
        <v>125</v>
      </c>
      <c r="C54" s="137">
        <v>7</v>
      </c>
      <c r="D54" s="137"/>
      <c r="E54" s="137">
        <v>9</v>
      </c>
      <c r="F54" s="137">
        <v>8</v>
      </c>
      <c r="G54" s="137"/>
      <c r="H54" s="137"/>
      <c r="I54" s="137"/>
      <c r="J54" s="146">
        <f t="shared" si="1"/>
        <v>1.5236724369910496E-2</v>
      </c>
      <c r="K54" s="137"/>
      <c r="L54" s="137" t="s">
        <v>73</v>
      </c>
      <c r="M54" s="137" t="s">
        <v>85</v>
      </c>
    </row>
    <row r="55" spans="1:13" x14ac:dyDescent="0.35">
      <c r="A55" s="137">
        <v>54</v>
      </c>
      <c r="B55" s="137">
        <v>125</v>
      </c>
      <c r="C55" s="137">
        <v>8</v>
      </c>
      <c r="D55" s="137">
        <v>12</v>
      </c>
      <c r="E55" s="137"/>
      <c r="F55" s="137"/>
      <c r="G55" s="137"/>
      <c r="H55" s="137"/>
      <c r="I55" s="137"/>
      <c r="J55" s="146">
        <f t="shared" si="1"/>
        <v>1.6336281798666925E-2</v>
      </c>
      <c r="K55" s="137"/>
      <c r="L55" s="137" t="s">
        <v>73</v>
      </c>
      <c r="M55" s="137"/>
    </row>
    <row r="56" spans="1:13" x14ac:dyDescent="0.35">
      <c r="A56" s="137">
        <v>55</v>
      </c>
      <c r="B56" s="137">
        <v>46</v>
      </c>
      <c r="C56" s="137">
        <v>4</v>
      </c>
      <c r="D56" s="137">
        <v>8</v>
      </c>
      <c r="E56" s="137"/>
      <c r="F56" s="137"/>
      <c r="G56" s="137"/>
      <c r="H56" s="137"/>
      <c r="I56" s="137"/>
      <c r="J56" s="146">
        <f t="shared" si="1"/>
        <v>6.2831853071795857E-3</v>
      </c>
      <c r="K56" s="137"/>
      <c r="L56" s="137" t="s">
        <v>95</v>
      </c>
      <c r="M56" s="137"/>
    </row>
    <row r="57" spans="1:13" x14ac:dyDescent="0.35">
      <c r="A57" s="137">
        <v>56</v>
      </c>
      <c r="B57" s="137">
        <v>125</v>
      </c>
      <c r="C57" s="137">
        <v>6</v>
      </c>
      <c r="D57" s="137">
        <v>14</v>
      </c>
      <c r="E57" s="137"/>
      <c r="F57" s="137"/>
      <c r="G57" s="137"/>
      <c r="H57" s="137"/>
      <c r="I57" s="137"/>
      <c r="J57" s="146">
        <f t="shared" si="1"/>
        <v>1.8221237390820801E-2</v>
      </c>
      <c r="K57" s="137"/>
      <c r="L57" s="137" t="s">
        <v>95</v>
      </c>
      <c r="M57" s="137"/>
    </row>
    <row r="58" spans="1:13" x14ac:dyDescent="0.35">
      <c r="A58" s="137">
        <v>57</v>
      </c>
      <c r="B58" s="137">
        <v>125</v>
      </c>
      <c r="C58" s="137">
        <v>9.5</v>
      </c>
      <c r="D58" s="137">
        <v>19</v>
      </c>
      <c r="E58" s="137"/>
      <c r="F58" s="137"/>
      <c r="G58" s="137"/>
      <c r="H58" s="137"/>
      <c r="I58" s="137"/>
      <c r="J58" s="146">
        <f t="shared" si="1"/>
        <v>3.5441092123309856E-2</v>
      </c>
      <c r="K58" s="137"/>
      <c r="L58" s="137" t="s">
        <v>76</v>
      </c>
      <c r="M58" s="137"/>
    </row>
    <row r="59" spans="1:13" x14ac:dyDescent="0.35">
      <c r="A59" s="137">
        <v>58</v>
      </c>
      <c r="B59" s="137">
        <v>125</v>
      </c>
      <c r="C59" s="137">
        <v>8</v>
      </c>
      <c r="D59" s="137">
        <v>20</v>
      </c>
      <c r="E59" s="137"/>
      <c r="F59" s="137"/>
      <c r="G59" s="137"/>
      <c r="H59" s="137"/>
      <c r="I59" s="137"/>
      <c r="J59" s="146">
        <f t="shared" si="1"/>
        <v>3.6442474781641601E-2</v>
      </c>
      <c r="K59" s="137"/>
      <c r="L59" s="137" t="s">
        <v>76</v>
      </c>
      <c r="M59" s="137"/>
    </row>
    <row r="60" spans="1:13" x14ac:dyDescent="0.35">
      <c r="A60" s="229">
        <f>SUBTOTAL(103,Tabla14[número de árboles])</f>
        <v>58</v>
      </c>
      <c r="B60" s="229" t="s">
        <v>146</v>
      </c>
      <c r="C60" s="199">
        <f>SUBTOTAL(101,Tabla14[altura])</f>
        <v>6.8620689655172411</v>
      </c>
      <c r="D60" s="199">
        <f>SUBTOTAL(101,Tabla14[diámetro])</f>
        <v>14.365853658536585</v>
      </c>
      <c r="E60" s="199">
        <f>SUBTOTAL(103,Tabla14[Hermanado1])</f>
        <v>17</v>
      </c>
      <c r="F60" s="199">
        <f>SUBTOTAL(103,Tabla14[Hermanado2])</f>
        <v>17</v>
      </c>
      <c r="G60" s="264">
        <f>SUBTOTAL(103,Tabla14[Hermanado3])</f>
        <v>2</v>
      </c>
      <c r="H60" s="199">
        <f>SUBTOTAL(101,Tabla14[Hermanado4])</f>
        <v>17</v>
      </c>
      <c r="I60" s="199"/>
      <c r="J60" s="199"/>
      <c r="K60" s="199"/>
      <c r="L60" s="154"/>
      <c r="M60" s="155">
        <f>SUBTOTAL(103,Tabla14[observaciones])</f>
        <v>11</v>
      </c>
    </row>
    <row r="61" spans="1:13" x14ac:dyDescent="0.35">
      <c r="A61" s="19" t="s">
        <v>53</v>
      </c>
      <c r="K61" s="19"/>
    </row>
    <row r="62" spans="1:13" x14ac:dyDescent="0.35">
      <c r="A62" s="19"/>
      <c r="K62" s="19"/>
    </row>
    <row r="63" spans="1:13" x14ac:dyDescent="0.35">
      <c r="A63" s="19" t="s">
        <v>54</v>
      </c>
      <c r="K63" s="19"/>
    </row>
    <row r="64" spans="1:13" x14ac:dyDescent="0.35">
      <c r="A64" s="19"/>
      <c r="K64" s="19"/>
    </row>
    <row r="66" spans="1:10" ht="15" thickBot="1" x14ac:dyDescent="0.4">
      <c r="A66" s="19" t="s">
        <v>64</v>
      </c>
    </row>
    <row r="67" spans="1:10" ht="15" thickBot="1" x14ac:dyDescent="0.4">
      <c r="A67" s="365" t="s">
        <v>51</v>
      </c>
      <c r="B67" s="366"/>
      <c r="C67" s="366"/>
      <c r="D67" s="366"/>
      <c r="E67" s="366"/>
      <c r="F67" s="366"/>
      <c r="G67" s="366"/>
      <c r="H67" s="366"/>
      <c r="I67" s="366"/>
      <c r="J67" s="367"/>
    </row>
    <row r="68" spans="1:10" ht="15" thickBot="1" x14ac:dyDescent="0.4">
      <c r="A68" s="19" t="s">
        <v>63</v>
      </c>
    </row>
    <row r="69" spans="1:10" ht="15" thickBot="1" x14ac:dyDescent="0.4">
      <c r="A69" s="365" t="s">
        <v>204</v>
      </c>
      <c r="B69" s="366"/>
      <c r="C69" s="366"/>
      <c r="D69" s="366"/>
      <c r="E69" s="366"/>
      <c r="F69" s="366"/>
      <c r="G69" s="366"/>
      <c r="H69" s="366"/>
      <c r="I69" s="366"/>
      <c r="J69" s="367"/>
    </row>
    <row r="70" spans="1:10" ht="15" thickBot="1" x14ac:dyDescent="0.4"/>
    <row r="71" spans="1:10" ht="15" thickBot="1" x14ac:dyDescent="0.4">
      <c r="A71" t="s">
        <v>128</v>
      </c>
      <c r="B71">
        <f>COUNT(Tabla14[[diámetro]:[Hermanado5]])</f>
        <v>78</v>
      </c>
      <c r="C71">
        <f>25*25</f>
        <v>625</v>
      </c>
      <c r="E71" s="55" t="s">
        <v>29</v>
      </c>
      <c r="F71" s="56"/>
      <c r="G71" s="29" t="s">
        <v>65</v>
      </c>
      <c r="H71" s="30"/>
      <c r="I71" s="28" t="s">
        <v>4</v>
      </c>
      <c r="J71" s="30"/>
    </row>
    <row r="72" spans="1:10" ht="15" thickBot="1" x14ac:dyDescent="0.4">
      <c r="B72">
        <f>B71*C72/C71</f>
        <v>1248</v>
      </c>
      <c r="C72">
        <v>10000</v>
      </c>
      <c r="E72" s="52" t="s">
        <v>30</v>
      </c>
      <c r="F72" s="53" t="s">
        <v>31</v>
      </c>
      <c r="G72" s="43">
        <v>125</v>
      </c>
      <c r="H72" s="21" t="s">
        <v>23</v>
      </c>
      <c r="I72" s="13" t="s">
        <v>6</v>
      </c>
      <c r="J72" s="14" t="s">
        <v>58</v>
      </c>
    </row>
    <row r="73" spans="1:10" ht="21.5" thickBot="1" x14ac:dyDescent="0.55000000000000004">
      <c r="A73" s="27" t="s">
        <v>120</v>
      </c>
      <c r="B73" s="49" t="s">
        <v>28</v>
      </c>
      <c r="C73" s="10" t="s">
        <v>52</v>
      </c>
      <c r="D73" s="51" t="s">
        <v>147</v>
      </c>
      <c r="E73" s="48" t="s">
        <v>32</v>
      </c>
      <c r="F73" s="46" t="s">
        <v>33</v>
      </c>
      <c r="G73" s="44">
        <v>130</v>
      </c>
      <c r="H73" s="23" t="s">
        <v>25</v>
      </c>
      <c r="I73" s="15" t="s">
        <v>5</v>
      </c>
      <c r="J73" s="16" t="s">
        <v>59</v>
      </c>
    </row>
    <row r="74" spans="1:10" ht="15" thickBot="1" x14ac:dyDescent="0.4">
      <c r="A74" s="10"/>
      <c r="B74" s="12">
        <v>2</v>
      </c>
      <c r="C74" s="12">
        <v>1</v>
      </c>
      <c r="D74" s="10">
        <f>B72</f>
        <v>1248</v>
      </c>
      <c r="E74" s="48" t="s">
        <v>34</v>
      </c>
      <c r="F74" s="46" t="s">
        <v>35</v>
      </c>
      <c r="G74" s="44">
        <v>46</v>
      </c>
      <c r="H74" s="23" t="s">
        <v>26</v>
      </c>
      <c r="I74" s="15" t="s">
        <v>13</v>
      </c>
      <c r="J74" s="16" t="s">
        <v>60</v>
      </c>
    </row>
    <row r="75" spans="1:10" x14ac:dyDescent="0.35">
      <c r="E75" s="45" t="s">
        <v>36</v>
      </c>
      <c r="F75" s="58" t="s">
        <v>37</v>
      </c>
      <c r="G75" s="44">
        <v>43</v>
      </c>
      <c r="H75" s="23" t="s">
        <v>27</v>
      </c>
      <c r="I75" s="15" t="s">
        <v>10</v>
      </c>
      <c r="J75" s="16" t="s">
        <v>61</v>
      </c>
    </row>
    <row r="76" spans="1:10" ht="15" thickBot="1" x14ac:dyDescent="0.4">
      <c r="E76" s="45" t="s">
        <v>16</v>
      </c>
      <c r="F76" s="46" t="s">
        <v>38</v>
      </c>
      <c r="G76" s="44">
        <v>23</v>
      </c>
      <c r="H76" s="23" t="s">
        <v>22</v>
      </c>
      <c r="I76" s="17" t="s">
        <v>12</v>
      </c>
      <c r="J76" s="18" t="s">
        <v>62</v>
      </c>
    </row>
    <row r="77" spans="1:10" x14ac:dyDescent="0.35">
      <c r="E77" s="45" t="s">
        <v>39</v>
      </c>
      <c r="F77" s="46" t="s">
        <v>40</v>
      </c>
      <c r="G77" s="44">
        <v>73</v>
      </c>
      <c r="H77" s="23" t="s">
        <v>24</v>
      </c>
    </row>
    <row r="78" spans="1:10" x14ac:dyDescent="0.35">
      <c r="E78" s="45" t="s">
        <v>41</v>
      </c>
      <c r="F78" s="46" t="s">
        <v>42</v>
      </c>
      <c r="G78" s="44">
        <v>87</v>
      </c>
      <c r="H78" s="23" t="s">
        <v>47</v>
      </c>
    </row>
    <row r="79" spans="1:10" x14ac:dyDescent="0.35">
      <c r="E79" s="45" t="s">
        <v>43</v>
      </c>
      <c r="F79" s="46" t="s">
        <v>44</v>
      </c>
      <c r="G79" s="44">
        <v>3</v>
      </c>
      <c r="H79" s="23" t="s">
        <v>48</v>
      </c>
    </row>
    <row r="80" spans="1:10" x14ac:dyDescent="0.35">
      <c r="E80" s="45" t="s">
        <v>45</v>
      </c>
      <c r="F80" s="47" t="s">
        <v>46</v>
      </c>
      <c r="G80" s="44">
        <v>82</v>
      </c>
      <c r="H80" s="23" t="s">
        <v>50</v>
      </c>
    </row>
    <row r="81" spans="7:8" x14ac:dyDescent="0.35">
      <c r="G81" s="22">
        <v>83</v>
      </c>
      <c r="H81" s="23" t="s">
        <v>49</v>
      </c>
    </row>
    <row r="82" spans="7:8" x14ac:dyDescent="0.35">
      <c r="G82" s="22">
        <v>42</v>
      </c>
      <c r="H82" s="23" t="s">
        <v>51</v>
      </c>
    </row>
    <row r="83" spans="7:8" x14ac:dyDescent="0.35">
      <c r="G83" s="22">
        <v>112</v>
      </c>
      <c r="H83" s="23" t="s">
        <v>66</v>
      </c>
    </row>
    <row r="84" spans="7:8" ht="15" thickBot="1" x14ac:dyDescent="0.4">
      <c r="G84" s="25">
        <v>113</v>
      </c>
      <c r="H84" s="26" t="s">
        <v>67</v>
      </c>
    </row>
    <row r="98" spans="1:10" x14ac:dyDescent="0.35">
      <c r="B98" s="350">
        <f>SUM(B101:B105)</f>
        <v>78</v>
      </c>
    </row>
    <row r="100" spans="1:10" x14ac:dyDescent="0.35">
      <c r="A100" t="s">
        <v>228</v>
      </c>
      <c r="B100" t="s">
        <v>206</v>
      </c>
      <c r="C100" t="s">
        <v>229</v>
      </c>
      <c r="D100" t="s">
        <v>142</v>
      </c>
      <c r="E100" t="s">
        <v>147</v>
      </c>
      <c r="F100" t="s">
        <v>225</v>
      </c>
      <c r="G100" t="s">
        <v>207</v>
      </c>
      <c r="H100" t="s">
        <v>231</v>
      </c>
      <c r="I100" t="s">
        <v>213</v>
      </c>
      <c r="J100" t="s">
        <v>215</v>
      </c>
    </row>
    <row r="101" spans="1:10" x14ac:dyDescent="0.35">
      <c r="A101" t="s">
        <v>212</v>
      </c>
      <c r="B101" s="352">
        <f>COUNTIF($D$1:$I$59,"&gt;=2,5")-COUNTIF($D$1:$I$59,"&gt;7,4")</f>
        <v>16</v>
      </c>
      <c r="C101" s="352">
        <v>5</v>
      </c>
      <c r="D101" s="76"/>
      <c r="E101" s="76">
        <f>(B101*10000)/625</f>
        <v>256</v>
      </c>
      <c r="F101" s="76">
        <f>(PI()/4)*(C101/100)^2</f>
        <v>1.9634954084936209E-3</v>
      </c>
      <c r="G101" s="76">
        <f>E101*F101</f>
        <v>0.50265482457436694</v>
      </c>
    </row>
    <row r="102" spans="1:10" x14ac:dyDescent="0.35">
      <c r="A102" t="s">
        <v>211</v>
      </c>
      <c r="B102" s="352">
        <f>COUNTIF($D$1:$I$59,"&gt;=7,5")-COUNTIF($D$1:$I$59,"&gt;12,4")</f>
        <v>20</v>
      </c>
      <c r="C102" s="352">
        <v>10</v>
      </c>
      <c r="D102" s="76"/>
      <c r="E102" s="76">
        <f t="shared" ref="E102:E108" si="2">(B102*10000)/625</f>
        <v>320</v>
      </c>
      <c r="F102" s="76">
        <f t="shared" ref="F102:F108" si="3">(PI()/4)*(C102/100)^2</f>
        <v>7.8539816339744835E-3</v>
      </c>
      <c r="G102" s="76">
        <f t="shared" ref="G102:G108" si="4">E102*F102</f>
        <v>2.5132741228718345</v>
      </c>
    </row>
    <row r="103" spans="1:10" x14ac:dyDescent="0.35">
      <c r="A103" t="s">
        <v>209</v>
      </c>
      <c r="B103" s="352">
        <f>COUNTIF($D$1:$I$59,"&gt;=12,5")-COUNTIF($D$1:$I$59,"&gt;17,4")</f>
        <v>21</v>
      </c>
      <c r="C103" s="352">
        <v>15</v>
      </c>
      <c r="D103" s="76"/>
      <c r="E103" s="76">
        <f t="shared" si="2"/>
        <v>336</v>
      </c>
      <c r="F103" s="76">
        <f t="shared" si="3"/>
        <v>1.7671458676442587E-2</v>
      </c>
      <c r="G103" s="76">
        <f t="shared" si="4"/>
        <v>5.9376101152847092</v>
      </c>
    </row>
    <row r="104" spans="1:10" x14ac:dyDescent="0.35">
      <c r="A104" t="s">
        <v>208</v>
      </c>
      <c r="B104" s="352">
        <f>COUNTIF($D$1:$I$59,"&gt;=17,5")-COUNTIF($D$1:$I$59,"&gt;22,4")</f>
        <v>16</v>
      </c>
      <c r="C104" s="352">
        <v>20</v>
      </c>
      <c r="D104" s="76"/>
      <c r="E104" s="76">
        <f t="shared" si="2"/>
        <v>256</v>
      </c>
      <c r="F104" s="76">
        <f t="shared" si="3"/>
        <v>3.1415926535897934E-2</v>
      </c>
      <c r="G104" s="76">
        <f t="shared" si="4"/>
        <v>8.0424771931898711</v>
      </c>
    </row>
    <row r="105" spans="1:10" x14ac:dyDescent="0.35">
      <c r="A105" t="s">
        <v>210</v>
      </c>
      <c r="B105" s="352">
        <f>COUNTIF($D$1:$I$59,"&gt;=22,5")-COUNTIF($D$1:$I$59,"&gt;27,4")</f>
        <v>5</v>
      </c>
      <c r="C105" s="352">
        <v>25</v>
      </c>
      <c r="D105" s="76"/>
      <c r="E105" s="76">
        <f t="shared" si="2"/>
        <v>80</v>
      </c>
      <c r="F105" s="76">
        <f t="shared" si="3"/>
        <v>4.9087385212340517E-2</v>
      </c>
      <c r="G105" s="76">
        <f t="shared" si="4"/>
        <v>3.9269908169872414</v>
      </c>
    </row>
    <row r="106" spans="1:10" x14ac:dyDescent="0.35">
      <c r="A106" t="s">
        <v>221</v>
      </c>
      <c r="B106" s="352">
        <f>COUNTIF($D$1:$I$59,"&gt;=27,5")-COUNTIF($D$1:$I$59,"&gt;32,4")</f>
        <v>0</v>
      </c>
      <c r="C106" s="352">
        <v>30</v>
      </c>
      <c r="D106" s="76"/>
      <c r="E106" s="76">
        <f t="shared" si="2"/>
        <v>0</v>
      </c>
      <c r="F106" s="76">
        <f t="shared" si="3"/>
        <v>7.0685834705770348E-2</v>
      </c>
      <c r="G106" s="76">
        <f t="shared" si="4"/>
        <v>0</v>
      </c>
    </row>
    <row r="107" spans="1:10" x14ac:dyDescent="0.35">
      <c r="A107" t="s">
        <v>222</v>
      </c>
      <c r="B107" s="352">
        <f>COUNTIF($D$1:$I$59,"&gt;=32,5")-COUNTIF($D$1:$I$59,"&gt;37,4")</f>
        <v>0</v>
      </c>
      <c r="C107" s="352">
        <v>35</v>
      </c>
      <c r="D107" s="76"/>
      <c r="E107" s="76">
        <f t="shared" si="2"/>
        <v>0</v>
      </c>
      <c r="F107" s="76">
        <f t="shared" si="3"/>
        <v>9.6211275016187398E-2</v>
      </c>
      <c r="G107" s="76">
        <f t="shared" si="4"/>
        <v>0</v>
      </c>
    </row>
    <row r="108" spans="1:10" x14ac:dyDescent="0.35">
      <c r="A108" t="s">
        <v>223</v>
      </c>
      <c r="B108" s="352">
        <f>COUNTIF($D$1:$I$59,"&gt;=37,5")-COUNTIF($D$1:$I$59,"&gt;42,4")</f>
        <v>0</v>
      </c>
      <c r="C108" s="352">
        <v>40</v>
      </c>
      <c r="D108" s="76"/>
      <c r="E108" s="76">
        <f t="shared" si="2"/>
        <v>0</v>
      </c>
      <c r="F108" s="76">
        <f t="shared" si="3"/>
        <v>0.12566370614359174</v>
      </c>
      <c r="G108" s="76">
        <f t="shared" si="4"/>
        <v>0</v>
      </c>
    </row>
    <row r="109" spans="1:10" x14ac:dyDescent="0.35">
      <c r="A109" t="s">
        <v>146</v>
      </c>
      <c r="B109" s="78">
        <f>SUBTOTAL(109,Tabla35[NÚMERO DE PIES])</f>
        <v>78</v>
      </c>
      <c r="C109" s="78">
        <f>SUBTOTAL(103,Tabla35[CLASE DIAMETRICA])</f>
        <v>8</v>
      </c>
      <c r="D109" s="78"/>
      <c r="E109" s="78">
        <f>SUBTOTAL(109,Tabla35[pies/ha])</f>
        <v>1248</v>
      </c>
      <c r="F109" s="78">
        <f>SUBTOTAL(101,Tabla35[gn (m2)])</f>
        <v>5.0069132916587329E-2</v>
      </c>
      <c r="G109" s="78">
        <f>SUBTOTAL(109,Tabla35[G (m2/ha.)])</f>
        <v>20.923007072908025</v>
      </c>
      <c r="J109">
        <f>SUBTOTAL(109,Tabla35[AB (m2) final])</f>
        <v>0</v>
      </c>
    </row>
  </sheetData>
  <mergeCells count="2">
    <mergeCell ref="A69:J69"/>
    <mergeCell ref="A67:J67"/>
  </mergeCells>
  <pageMargins left="0.7" right="0.7" top="0.75" bottom="0.75" header="0.3" footer="0.3"/>
  <pageSetup paperSize="8" scale="68" orientation="portrait" r:id="rId1"/>
  <headerFooter>
    <oddHeader>&amp;C
Parcela &amp;"-,Negrita"&amp;KC00000C3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B80" zoomScale="110" zoomScaleNormal="100" zoomScalePageLayoutView="110" workbookViewId="0">
      <selection activeCell="C79" sqref="C79"/>
    </sheetView>
  </sheetViews>
  <sheetFormatPr baseColWidth="10" defaultColWidth="8.7265625" defaultRowHeight="14.5" x14ac:dyDescent="0.35"/>
  <cols>
    <col min="1" max="1" width="20.1796875" customWidth="1"/>
    <col min="2" max="2" width="16.7265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9.81640625" customWidth="1"/>
    <col min="13" max="13" width="10.26953125" customWidth="1"/>
  </cols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s="2" t="s">
        <v>8</v>
      </c>
      <c r="F1" s="2" t="s">
        <v>7</v>
      </c>
      <c r="G1" s="2" t="s">
        <v>141</v>
      </c>
      <c r="H1" s="2" t="s">
        <v>9</v>
      </c>
      <c r="I1" s="33" t="s">
        <v>195</v>
      </c>
      <c r="J1" s="33" t="s">
        <v>239</v>
      </c>
      <c r="K1" s="33" t="s">
        <v>145</v>
      </c>
      <c r="L1" t="s">
        <v>4</v>
      </c>
      <c r="M1" t="s">
        <v>21</v>
      </c>
    </row>
    <row r="2" spans="1:13" x14ac:dyDescent="0.35">
      <c r="A2" s="137">
        <v>1</v>
      </c>
      <c r="B2" s="137">
        <v>125</v>
      </c>
      <c r="C2" s="137">
        <v>9</v>
      </c>
      <c r="D2" s="187"/>
      <c r="E2" s="137">
        <v>22</v>
      </c>
      <c r="F2" s="137">
        <v>10</v>
      </c>
      <c r="G2" s="137">
        <v>7</v>
      </c>
      <c r="H2" s="137"/>
      <c r="I2" s="188"/>
      <c r="J2" s="146">
        <f t="shared" ref="J2:J33" si="0">PI()*(((C2)/2)/100)^2+PI()*(((D2)/2)/100)^2+PI()*(((E2)/2)/100)^2+PI()*(((F2)/2)/100)^2+PI()*(((G2)/2)/100)^2+PI()*(((H2)/2)/100)^2</f>
        <v>5.6077428866577808E-2</v>
      </c>
      <c r="K2" s="188"/>
      <c r="L2" s="188" t="s">
        <v>78</v>
      </c>
      <c r="M2" s="357"/>
    </row>
    <row r="3" spans="1:13" x14ac:dyDescent="0.35">
      <c r="A3" s="137">
        <v>2</v>
      </c>
      <c r="B3" s="137">
        <v>125</v>
      </c>
      <c r="C3" s="137">
        <v>7</v>
      </c>
      <c r="D3" s="187"/>
      <c r="E3" s="137">
        <v>17</v>
      </c>
      <c r="F3" s="137">
        <v>13</v>
      </c>
      <c r="G3" s="137"/>
      <c r="H3" s="137"/>
      <c r="I3" s="188"/>
      <c r="J3" s="146">
        <f t="shared" si="0"/>
        <v>3.9819686884250638E-2</v>
      </c>
      <c r="K3" s="188"/>
      <c r="L3" s="188" t="s">
        <v>76</v>
      </c>
      <c r="M3" s="357"/>
    </row>
    <row r="4" spans="1:13" x14ac:dyDescent="0.35">
      <c r="A4" s="137">
        <v>3</v>
      </c>
      <c r="B4" s="137">
        <v>125</v>
      </c>
      <c r="C4" s="137">
        <v>6.5</v>
      </c>
      <c r="D4" s="187">
        <v>16</v>
      </c>
      <c r="E4" s="137"/>
      <c r="F4" s="138"/>
      <c r="G4" s="138"/>
      <c r="H4" s="138"/>
      <c r="I4" s="336"/>
      <c r="J4" s="241">
        <f t="shared" si="0"/>
        <v>2.3424500223328894E-2</v>
      </c>
      <c r="K4" s="336"/>
      <c r="L4" s="188" t="s">
        <v>73</v>
      </c>
      <c r="M4" s="358"/>
    </row>
    <row r="5" spans="1:13" x14ac:dyDescent="0.35">
      <c r="A5" s="137">
        <v>4</v>
      </c>
      <c r="B5" s="137">
        <v>125</v>
      </c>
      <c r="C5" s="137">
        <v>7</v>
      </c>
      <c r="D5" s="187"/>
      <c r="E5" s="137">
        <v>12</v>
      </c>
      <c r="F5" s="137">
        <v>6</v>
      </c>
      <c r="G5" s="137"/>
      <c r="H5" s="137"/>
      <c r="I5" s="188"/>
      <c r="J5" s="146">
        <f t="shared" si="0"/>
        <v>1.7985617941801566E-2</v>
      </c>
      <c r="K5" s="188"/>
      <c r="L5" s="188" t="s">
        <v>76</v>
      </c>
      <c r="M5" s="358"/>
    </row>
    <row r="6" spans="1:13" x14ac:dyDescent="0.35">
      <c r="A6" s="137">
        <v>5</v>
      </c>
      <c r="B6" s="137">
        <v>46</v>
      </c>
      <c r="C6" s="137">
        <v>1.5</v>
      </c>
      <c r="D6" s="187">
        <v>5</v>
      </c>
      <c r="E6" s="137"/>
      <c r="F6" s="138"/>
      <c r="G6" s="138"/>
      <c r="H6" s="138"/>
      <c r="I6" s="336"/>
      <c r="J6" s="241">
        <f t="shared" si="0"/>
        <v>2.1402099952580467E-3</v>
      </c>
      <c r="K6" s="336"/>
      <c r="L6" s="188" t="s">
        <v>75</v>
      </c>
      <c r="M6" s="358"/>
    </row>
    <row r="7" spans="1:13" x14ac:dyDescent="0.35">
      <c r="A7" s="137">
        <v>6</v>
      </c>
      <c r="B7" s="137">
        <v>125</v>
      </c>
      <c r="C7" s="137">
        <v>8</v>
      </c>
      <c r="D7" s="187"/>
      <c r="E7" s="137">
        <v>12</v>
      </c>
      <c r="F7" s="137">
        <v>18</v>
      </c>
      <c r="G7" s="137"/>
      <c r="H7" s="137"/>
      <c r="I7" s="188"/>
      <c r="J7" s="146">
        <f t="shared" si="0"/>
        <v>4.1783182292744248E-2</v>
      </c>
      <c r="K7" s="188"/>
      <c r="L7" s="188" t="s">
        <v>73</v>
      </c>
      <c r="M7" s="358"/>
    </row>
    <row r="8" spans="1:13" x14ac:dyDescent="0.35">
      <c r="A8" s="137">
        <v>7</v>
      </c>
      <c r="B8" s="137">
        <v>125</v>
      </c>
      <c r="C8" s="137">
        <v>5</v>
      </c>
      <c r="D8" s="187">
        <v>11</v>
      </c>
      <c r="E8" s="137">
        <v>11</v>
      </c>
      <c r="F8" s="138"/>
      <c r="G8" s="138"/>
      <c r="H8" s="138"/>
      <c r="I8" s="336"/>
      <c r="J8" s="241">
        <f t="shared" si="0"/>
        <v>2.0970130962711869E-2</v>
      </c>
      <c r="K8" s="336"/>
      <c r="L8" s="188"/>
      <c r="M8" s="358" t="s">
        <v>97</v>
      </c>
    </row>
    <row r="9" spans="1:13" x14ac:dyDescent="0.35">
      <c r="A9" s="137">
        <v>8</v>
      </c>
      <c r="B9" s="137">
        <v>125</v>
      </c>
      <c r="C9" s="137">
        <v>9</v>
      </c>
      <c r="D9" s="187"/>
      <c r="E9" s="137">
        <v>19</v>
      </c>
      <c r="F9" s="137"/>
      <c r="G9" s="137"/>
      <c r="H9" s="137"/>
      <c r="I9" s="188"/>
      <c r="J9" s="146">
        <f t="shared" si="0"/>
        <v>3.4714598822167216E-2</v>
      </c>
      <c r="K9" s="188"/>
      <c r="L9" s="188" t="s">
        <v>78</v>
      </c>
      <c r="M9" s="358"/>
    </row>
    <row r="10" spans="1:13" x14ac:dyDescent="0.35">
      <c r="A10" s="137">
        <v>9</v>
      </c>
      <c r="B10" s="137">
        <v>125</v>
      </c>
      <c r="C10" s="137">
        <v>8</v>
      </c>
      <c r="D10" s="187"/>
      <c r="E10" s="137">
        <v>6</v>
      </c>
      <c r="F10" s="137">
        <v>17</v>
      </c>
      <c r="G10" s="137"/>
      <c r="H10" s="137"/>
      <c r="I10" s="188"/>
      <c r="J10" s="146">
        <f t="shared" si="0"/>
        <v>3.0551988556160745E-2</v>
      </c>
      <c r="K10" s="188"/>
      <c r="L10" s="188" t="s">
        <v>73</v>
      </c>
      <c r="M10" s="358" t="s">
        <v>115</v>
      </c>
    </row>
    <row r="11" spans="1:13" x14ac:dyDescent="0.35">
      <c r="A11" s="137">
        <v>10</v>
      </c>
      <c r="B11" s="137">
        <v>125</v>
      </c>
      <c r="C11" s="137"/>
      <c r="D11" s="187">
        <v>5</v>
      </c>
      <c r="E11" s="137"/>
      <c r="F11" s="138"/>
      <c r="G11" s="138"/>
      <c r="H11" s="138"/>
      <c r="I11" s="336"/>
      <c r="J11" s="241">
        <f t="shared" si="0"/>
        <v>1.9634954084936209E-3</v>
      </c>
      <c r="K11" s="336"/>
      <c r="L11" s="188"/>
      <c r="M11" s="357"/>
    </row>
    <row r="12" spans="1:13" x14ac:dyDescent="0.35">
      <c r="A12" s="137">
        <v>11</v>
      </c>
      <c r="B12" s="137">
        <v>125</v>
      </c>
      <c r="C12" s="137">
        <v>1.5</v>
      </c>
      <c r="D12" s="187">
        <v>5</v>
      </c>
      <c r="E12" s="137"/>
      <c r="F12" s="138"/>
      <c r="G12" s="138"/>
      <c r="H12" s="138"/>
      <c r="I12" s="336"/>
      <c r="J12" s="241">
        <f t="shared" si="0"/>
        <v>2.1402099952580467E-3</v>
      </c>
      <c r="K12" s="336"/>
      <c r="L12" s="188" t="s">
        <v>74</v>
      </c>
      <c r="M12" s="357"/>
    </row>
    <row r="13" spans="1:13" x14ac:dyDescent="0.35">
      <c r="A13" s="137">
        <v>12</v>
      </c>
      <c r="B13" s="137">
        <v>125</v>
      </c>
      <c r="C13" s="137">
        <v>7</v>
      </c>
      <c r="D13" s="187">
        <v>12</v>
      </c>
      <c r="E13" s="137"/>
      <c r="F13" s="138"/>
      <c r="G13" s="138"/>
      <c r="H13" s="138"/>
      <c r="I13" s="336"/>
      <c r="J13" s="241">
        <f t="shared" si="0"/>
        <v>1.5158184553570752E-2</v>
      </c>
      <c r="K13" s="336"/>
      <c r="L13" s="188" t="s">
        <v>73</v>
      </c>
      <c r="M13" s="357"/>
    </row>
    <row r="14" spans="1:13" x14ac:dyDescent="0.35">
      <c r="A14" s="137">
        <v>13</v>
      </c>
      <c r="B14" s="137">
        <v>125</v>
      </c>
      <c r="C14" s="137">
        <v>6.5</v>
      </c>
      <c r="D14" s="187">
        <v>7</v>
      </c>
      <c r="E14" s="137"/>
      <c r="F14" s="138"/>
      <c r="G14" s="138"/>
      <c r="H14" s="138"/>
      <c r="I14" s="336"/>
      <c r="J14" s="241">
        <f t="shared" si="0"/>
        <v>7.1667582410017165E-3</v>
      </c>
      <c r="K14" s="336"/>
      <c r="L14" s="188" t="s">
        <v>73</v>
      </c>
      <c r="M14" s="358"/>
    </row>
    <row r="15" spans="1:13" x14ac:dyDescent="0.35">
      <c r="A15" s="137">
        <v>14</v>
      </c>
      <c r="B15" s="137">
        <v>125</v>
      </c>
      <c r="C15" s="137">
        <v>8</v>
      </c>
      <c r="D15" s="187">
        <v>16</v>
      </c>
      <c r="E15" s="137"/>
      <c r="F15" s="138"/>
      <c r="G15" s="138"/>
      <c r="H15" s="138"/>
      <c r="I15" s="336"/>
      <c r="J15" s="241">
        <f t="shared" si="0"/>
        <v>2.5132741228718343E-2</v>
      </c>
      <c r="K15" s="336"/>
      <c r="L15" s="188" t="s">
        <v>76</v>
      </c>
      <c r="M15" s="358"/>
    </row>
    <row r="16" spans="1:13" x14ac:dyDescent="0.35">
      <c r="A16" s="137">
        <v>15</v>
      </c>
      <c r="B16" s="137">
        <v>125</v>
      </c>
      <c r="C16" s="137">
        <v>5</v>
      </c>
      <c r="D16" s="187">
        <v>6</v>
      </c>
      <c r="E16" s="137"/>
      <c r="F16" s="138"/>
      <c r="G16" s="138"/>
      <c r="H16" s="138"/>
      <c r="I16" s="336"/>
      <c r="J16" s="241">
        <f t="shared" si="0"/>
        <v>4.7909287967244345E-3</v>
      </c>
      <c r="K16" s="336"/>
      <c r="L16" s="188" t="s">
        <v>74</v>
      </c>
      <c r="M16" s="358" t="s">
        <v>84</v>
      </c>
    </row>
    <row r="17" spans="1:13" x14ac:dyDescent="0.35">
      <c r="A17" s="137">
        <v>16</v>
      </c>
      <c r="B17" s="137">
        <v>125</v>
      </c>
      <c r="C17" s="137">
        <v>6.5</v>
      </c>
      <c r="D17" s="187">
        <v>12</v>
      </c>
      <c r="E17" s="137"/>
      <c r="F17" s="138"/>
      <c r="G17" s="138"/>
      <c r="H17" s="138"/>
      <c r="I17" s="336"/>
      <c r="J17" s="241">
        <f t="shared" si="0"/>
        <v>1.4628040793277473E-2</v>
      </c>
      <c r="K17" s="336"/>
      <c r="L17" s="188" t="s">
        <v>73</v>
      </c>
      <c r="M17" s="358"/>
    </row>
    <row r="18" spans="1:13" x14ac:dyDescent="0.35">
      <c r="A18" s="137">
        <v>17</v>
      </c>
      <c r="B18" s="137">
        <v>46</v>
      </c>
      <c r="C18" s="137">
        <v>2</v>
      </c>
      <c r="D18" s="187">
        <v>5</v>
      </c>
      <c r="E18" s="137"/>
      <c r="F18" s="138"/>
      <c r="G18" s="138"/>
      <c r="H18" s="138"/>
      <c r="I18" s="336"/>
      <c r="J18" s="241">
        <f t="shared" si="0"/>
        <v>2.2776546738526001E-3</v>
      </c>
      <c r="K18" s="336"/>
      <c r="L18" s="188" t="s">
        <v>13</v>
      </c>
      <c r="M18" s="358"/>
    </row>
    <row r="19" spans="1:13" x14ac:dyDescent="0.35">
      <c r="A19" s="137">
        <v>18</v>
      </c>
      <c r="B19" s="137">
        <v>125</v>
      </c>
      <c r="C19" s="137">
        <v>8</v>
      </c>
      <c r="D19" s="187"/>
      <c r="E19" s="137">
        <v>4</v>
      </c>
      <c r="F19" s="137">
        <v>16</v>
      </c>
      <c r="G19" s="137"/>
      <c r="H19" s="137"/>
      <c r="I19" s="188"/>
      <c r="J19" s="146">
        <f t="shared" si="0"/>
        <v>2.638937829015426E-2</v>
      </c>
      <c r="K19" s="188"/>
      <c r="L19" s="188" t="s">
        <v>73</v>
      </c>
      <c r="M19" s="358"/>
    </row>
    <row r="20" spans="1:13" x14ac:dyDescent="0.35">
      <c r="A20" s="137">
        <v>19</v>
      </c>
      <c r="B20" s="137">
        <v>125</v>
      </c>
      <c r="C20" s="137">
        <v>9</v>
      </c>
      <c r="D20" s="187"/>
      <c r="E20" s="137">
        <v>18</v>
      </c>
      <c r="F20" s="137">
        <v>10</v>
      </c>
      <c r="G20" s="137"/>
      <c r="H20" s="137"/>
      <c r="I20" s="188"/>
      <c r="J20" s="146">
        <f t="shared" si="0"/>
        <v>3.9662607251571141E-2</v>
      </c>
      <c r="K20" s="188"/>
      <c r="L20" s="188" t="s">
        <v>76</v>
      </c>
      <c r="M20" s="358"/>
    </row>
    <row r="21" spans="1:13" x14ac:dyDescent="0.35">
      <c r="A21" s="137">
        <v>20</v>
      </c>
      <c r="B21" s="137">
        <v>125</v>
      </c>
      <c r="C21" s="137">
        <v>8</v>
      </c>
      <c r="D21" s="187">
        <v>23</v>
      </c>
      <c r="E21" s="137"/>
      <c r="F21" s="138"/>
      <c r="G21" s="138"/>
      <c r="H21" s="138"/>
      <c r="I21" s="336"/>
      <c r="J21" s="241">
        <f t="shared" si="0"/>
        <v>4.6574111089468684E-2</v>
      </c>
      <c r="K21" s="336"/>
      <c r="L21" s="188" t="s">
        <v>76</v>
      </c>
      <c r="M21" s="358"/>
    </row>
    <row r="22" spans="1:13" x14ac:dyDescent="0.35">
      <c r="A22" s="137">
        <v>21</v>
      </c>
      <c r="B22" s="137">
        <v>125</v>
      </c>
      <c r="C22" s="137">
        <v>8</v>
      </c>
      <c r="D22" s="187"/>
      <c r="E22" s="137">
        <v>10</v>
      </c>
      <c r="F22" s="137">
        <v>18</v>
      </c>
      <c r="G22" s="138"/>
      <c r="H22" s="138"/>
      <c r="I22" s="336"/>
      <c r="J22" s="241">
        <f t="shared" si="0"/>
        <v>3.8327430373795476E-2</v>
      </c>
      <c r="K22" s="336"/>
      <c r="L22" s="188" t="s">
        <v>73</v>
      </c>
      <c r="M22" s="358" t="s">
        <v>97</v>
      </c>
    </row>
    <row r="23" spans="1:13" x14ac:dyDescent="0.35">
      <c r="A23" s="137">
        <v>22</v>
      </c>
      <c r="B23" s="137">
        <v>125</v>
      </c>
      <c r="C23" s="137">
        <v>8</v>
      </c>
      <c r="D23" s="187">
        <v>19</v>
      </c>
      <c r="E23" s="137"/>
      <c r="F23" s="138"/>
      <c r="G23" s="138"/>
      <c r="H23" s="138"/>
      <c r="I23" s="336"/>
      <c r="J23" s="241">
        <f t="shared" si="0"/>
        <v>3.337942194439155E-2</v>
      </c>
      <c r="K23" s="336"/>
      <c r="L23" s="188" t="s">
        <v>76</v>
      </c>
      <c r="M23" s="358"/>
    </row>
    <row r="24" spans="1:13" x14ac:dyDescent="0.35">
      <c r="A24" s="137">
        <v>23</v>
      </c>
      <c r="B24" s="137">
        <v>125</v>
      </c>
      <c r="C24" s="137">
        <v>7</v>
      </c>
      <c r="D24" s="187"/>
      <c r="E24" s="137">
        <v>6</v>
      </c>
      <c r="F24" s="138">
        <v>10</v>
      </c>
      <c r="G24" s="138"/>
      <c r="H24" s="138"/>
      <c r="I24" s="336"/>
      <c r="J24" s="241">
        <f t="shared" si="0"/>
        <v>1.4529866022852795E-2</v>
      </c>
      <c r="K24" s="336"/>
      <c r="L24" s="188" t="s">
        <v>73</v>
      </c>
      <c r="M24" s="358"/>
    </row>
    <row r="25" spans="1:13" x14ac:dyDescent="0.35">
      <c r="A25" s="137">
        <v>24</v>
      </c>
      <c r="B25" s="137">
        <v>125</v>
      </c>
      <c r="C25" s="137">
        <v>8</v>
      </c>
      <c r="D25" s="187">
        <v>23</v>
      </c>
      <c r="E25" s="137"/>
      <c r="F25" s="138"/>
      <c r="G25" s="138"/>
      <c r="H25" s="138"/>
      <c r="I25" s="336"/>
      <c r="J25" s="241">
        <f t="shared" si="0"/>
        <v>4.6574111089468684E-2</v>
      </c>
      <c r="K25" s="336"/>
      <c r="L25" s="188" t="s">
        <v>76</v>
      </c>
      <c r="M25" s="358"/>
    </row>
    <row r="26" spans="1:13" x14ac:dyDescent="0.35">
      <c r="A26" s="137">
        <v>25</v>
      </c>
      <c r="B26" s="137">
        <v>125</v>
      </c>
      <c r="C26" s="137">
        <v>6</v>
      </c>
      <c r="D26" s="187">
        <v>14</v>
      </c>
      <c r="E26" s="137"/>
      <c r="F26" s="138"/>
      <c r="G26" s="138"/>
      <c r="H26" s="138"/>
      <c r="I26" s="336"/>
      <c r="J26" s="241">
        <f t="shared" si="0"/>
        <v>1.8221237390820801E-2</v>
      </c>
      <c r="K26" s="336"/>
      <c r="L26" s="188" t="s">
        <v>73</v>
      </c>
      <c r="M26" s="358"/>
    </row>
    <row r="27" spans="1:13" x14ac:dyDescent="0.35">
      <c r="A27" s="137">
        <v>26</v>
      </c>
      <c r="B27" s="137">
        <v>125</v>
      </c>
      <c r="C27" s="137">
        <v>9</v>
      </c>
      <c r="D27" s="187">
        <v>21</v>
      </c>
      <c r="E27" s="137"/>
      <c r="F27" s="138"/>
      <c r="G27" s="138"/>
      <c r="H27" s="138"/>
      <c r="I27" s="336"/>
      <c r="J27" s="241">
        <f t="shared" si="0"/>
        <v>4.09977841293468E-2</v>
      </c>
      <c r="K27" s="336"/>
      <c r="L27" s="188" t="s">
        <v>78</v>
      </c>
      <c r="M27" s="357"/>
    </row>
    <row r="28" spans="1:13" x14ac:dyDescent="0.35">
      <c r="A28" s="137">
        <v>27</v>
      </c>
      <c r="B28" s="137">
        <v>125</v>
      </c>
      <c r="C28" s="137">
        <v>9</v>
      </c>
      <c r="D28" s="187">
        <v>25</v>
      </c>
      <c r="E28" s="137"/>
      <c r="F28" s="138"/>
      <c r="G28" s="138"/>
      <c r="H28" s="138"/>
      <c r="I28" s="336"/>
      <c r="J28" s="241">
        <f t="shared" si="0"/>
        <v>5.544911033585985E-2</v>
      </c>
      <c r="K28" s="336"/>
      <c r="L28" s="188" t="s">
        <v>78</v>
      </c>
      <c r="M28" s="357"/>
    </row>
    <row r="29" spans="1:13" x14ac:dyDescent="0.35">
      <c r="A29" s="137">
        <v>28</v>
      </c>
      <c r="B29" s="137">
        <v>125</v>
      </c>
      <c r="C29" s="137">
        <v>7</v>
      </c>
      <c r="D29" s="187"/>
      <c r="E29" s="137">
        <v>19</v>
      </c>
      <c r="F29" s="137">
        <v>8</v>
      </c>
      <c r="G29" s="137"/>
      <c r="H29" s="137"/>
      <c r="I29" s="188"/>
      <c r="J29" s="146">
        <f t="shared" si="0"/>
        <v>3.7227872945039049E-2</v>
      </c>
      <c r="K29" s="188"/>
      <c r="L29" s="188" t="s">
        <v>76</v>
      </c>
      <c r="M29" s="357"/>
    </row>
    <row r="30" spans="1:13" x14ac:dyDescent="0.35">
      <c r="A30" s="137">
        <v>29</v>
      </c>
      <c r="B30" s="137">
        <v>46</v>
      </c>
      <c r="C30" s="137">
        <v>4</v>
      </c>
      <c r="D30" s="187">
        <v>11</v>
      </c>
      <c r="E30" s="137"/>
      <c r="F30" s="138"/>
      <c r="G30" s="138"/>
      <c r="H30" s="138"/>
      <c r="I30" s="336"/>
      <c r="J30" s="241">
        <f t="shared" si="0"/>
        <v>1.0759954838545041E-2</v>
      </c>
      <c r="K30" s="336"/>
      <c r="L30" s="188" t="s">
        <v>73</v>
      </c>
      <c r="M30" s="357"/>
    </row>
    <row r="31" spans="1:13" x14ac:dyDescent="0.35">
      <c r="A31" s="137">
        <v>30</v>
      </c>
      <c r="B31" s="137">
        <v>125</v>
      </c>
      <c r="C31" s="137">
        <v>9</v>
      </c>
      <c r="D31" s="187">
        <v>16</v>
      </c>
      <c r="E31" s="137"/>
      <c r="F31" s="138"/>
      <c r="G31" s="138"/>
      <c r="H31" s="138"/>
      <c r="I31" s="336"/>
      <c r="J31" s="241">
        <f t="shared" si="0"/>
        <v>2.6467918106494008E-2</v>
      </c>
      <c r="K31" s="336"/>
      <c r="L31" s="188" t="s">
        <v>73</v>
      </c>
      <c r="M31" s="357"/>
    </row>
    <row r="32" spans="1:13" x14ac:dyDescent="0.35">
      <c r="A32" s="137">
        <v>31</v>
      </c>
      <c r="B32" s="137">
        <v>125</v>
      </c>
      <c r="C32" s="137">
        <v>8</v>
      </c>
      <c r="D32" s="187">
        <v>20</v>
      </c>
      <c r="E32" s="137"/>
      <c r="F32" s="138"/>
      <c r="G32" s="138"/>
      <c r="H32" s="138"/>
      <c r="I32" s="336"/>
      <c r="J32" s="241">
        <f t="shared" si="0"/>
        <v>3.6442474781641601E-2</v>
      </c>
      <c r="K32" s="336"/>
      <c r="L32" s="188" t="s">
        <v>78</v>
      </c>
      <c r="M32" s="357"/>
    </row>
    <row r="33" spans="1:13" x14ac:dyDescent="0.35">
      <c r="A33" s="137">
        <v>32</v>
      </c>
      <c r="B33" s="137">
        <v>125</v>
      </c>
      <c r="C33" s="137">
        <v>7</v>
      </c>
      <c r="D33" s="187">
        <v>12</v>
      </c>
      <c r="E33" s="137"/>
      <c r="F33" s="138"/>
      <c r="G33" s="138"/>
      <c r="H33" s="138"/>
      <c r="I33" s="336"/>
      <c r="J33" s="241">
        <f t="shared" si="0"/>
        <v>1.5158184553570752E-2</v>
      </c>
      <c r="K33" s="336"/>
      <c r="L33" s="188" t="s">
        <v>73</v>
      </c>
      <c r="M33" s="357"/>
    </row>
    <row r="34" spans="1:13" x14ac:dyDescent="0.35">
      <c r="A34" s="137">
        <v>33</v>
      </c>
      <c r="B34" s="137">
        <v>125</v>
      </c>
      <c r="C34" s="137">
        <v>4</v>
      </c>
      <c r="D34" s="187">
        <v>10</v>
      </c>
      <c r="E34" s="137"/>
      <c r="F34" s="138"/>
      <c r="G34" s="138"/>
      <c r="H34" s="138"/>
      <c r="I34" s="336"/>
      <c r="J34" s="241">
        <f t="shared" ref="J34:J59" si="1">PI()*(((C34)/2)/100)^2+PI()*(((D34)/2)/100)^2+PI()*(((E34)/2)/100)^2+PI()*(((F34)/2)/100)^2+PI()*(((G34)/2)/100)^2+PI()*(((H34)/2)/100)^2</f>
        <v>9.1106186954104003E-3</v>
      </c>
      <c r="K34" s="336"/>
      <c r="L34" s="188" t="s">
        <v>74</v>
      </c>
      <c r="M34" s="357"/>
    </row>
    <row r="35" spans="1:13" x14ac:dyDescent="0.35">
      <c r="A35" s="137">
        <v>34</v>
      </c>
      <c r="B35" s="137">
        <v>125</v>
      </c>
      <c r="C35" s="137">
        <v>6</v>
      </c>
      <c r="D35" s="187"/>
      <c r="E35" s="137">
        <v>14</v>
      </c>
      <c r="F35" s="137">
        <v>14</v>
      </c>
      <c r="G35" s="137"/>
      <c r="H35" s="137"/>
      <c r="I35" s="188"/>
      <c r="J35" s="146">
        <f t="shared" si="1"/>
        <v>3.3615041393410788E-2</v>
      </c>
      <c r="K35" s="188"/>
      <c r="L35" s="188" t="s">
        <v>74</v>
      </c>
      <c r="M35" s="357"/>
    </row>
    <row r="36" spans="1:13" x14ac:dyDescent="0.35">
      <c r="A36" s="137">
        <v>35</v>
      </c>
      <c r="B36" s="137">
        <v>125</v>
      </c>
      <c r="C36" s="137">
        <v>8</v>
      </c>
      <c r="D36" s="187"/>
      <c r="E36" s="137">
        <v>12</v>
      </c>
      <c r="F36" s="137">
        <v>16</v>
      </c>
      <c r="G36" s="137"/>
      <c r="H36" s="137"/>
      <c r="I36" s="188"/>
      <c r="J36" s="146">
        <f t="shared" si="1"/>
        <v>3.6442474781641601E-2</v>
      </c>
      <c r="K36" s="188"/>
      <c r="L36" s="188" t="s">
        <v>73</v>
      </c>
      <c r="M36" s="357"/>
    </row>
    <row r="37" spans="1:13" x14ac:dyDescent="0.35">
      <c r="A37" s="137">
        <v>36</v>
      </c>
      <c r="B37" s="137">
        <v>125</v>
      </c>
      <c r="C37" s="137">
        <v>5</v>
      </c>
      <c r="D37" s="187"/>
      <c r="E37" s="137">
        <v>10</v>
      </c>
      <c r="F37" s="137">
        <v>10</v>
      </c>
      <c r="G37" s="138"/>
      <c r="H37" s="138"/>
      <c r="I37" s="336"/>
      <c r="J37" s="241">
        <f t="shared" si="1"/>
        <v>1.7671458676442587E-2</v>
      </c>
      <c r="K37" s="336"/>
      <c r="L37" s="188" t="s">
        <v>73</v>
      </c>
      <c r="M37" s="357" t="s">
        <v>97</v>
      </c>
    </row>
    <row r="38" spans="1:13" x14ac:dyDescent="0.35">
      <c r="A38" s="137">
        <v>37</v>
      </c>
      <c r="B38" s="137">
        <v>125</v>
      </c>
      <c r="C38" s="137">
        <v>7</v>
      </c>
      <c r="D38" s="187"/>
      <c r="E38" s="137">
        <v>10</v>
      </c>
      <c r="F38" s="137">
        <v>14</v>
      </c>
      <c r="G38" s="138"/>
      <c r="H38" s="138"/>
      <c r="I38" s="336"/>
      <c r="J38" s="241">
        <f t="shared" si="1"/>
        <v>2.7096236637211966E-2</v>
      </c>
      <c r="K38" s="336"/>
      <c r="L38" s="188" t="s">
        <v>74</v>
      </c>
      <c r="M38" s="357"/>
    </row>
    <row r="39" spans="1:13" x14ac:dyDescent="0.35">
      <c r="A39" s="137">
        <v>38</v>
      </c>
      <c r="B39" s="137">
        <v>125</v>
      </c>
      <c r="C39" s="137">
        <v>7</v>
      </c>
      <c r="D39" s="187"/>
      <c r="E39" s="137">
        <v>13</v>
      </c>
      <c r="F39" s="137"/>
      <c r="G39" s="138"/>
      <c r="H39" s="138"/>
      <c r="I39" s="336"/>
      <c r="J39" s="241">
        <f t="shared" si="1"/>
        <v>1.7121679962064373E-2</v>
      </c>
      <c r="K39" s="336"/>
      <c r="L39" s="188" t="s">
        <v>76</v>
      </c>
      <c r="M39" s="357"/>
    </row>
    <row r="40" spans="1:13" x14ac:dyDescent="0.35">
      <c r="A40" s="137">
        <v>39</v>
      </c>
      <c r="B40" s="137">
        <v>125</v>
      </c>
      <c r="C40" s="137">
        <v>9</v>
      </c>
      <c r="D40" s="187"/>
      <c r="E40" s="137">
        <v>13</v>
      </c>
      <c r="F40" s="137">
        <v>15</v>
      </c>
      <c r="G40" s="137"/>
      <c r="H40" s="137"/>
      <c r="I40" s="188"/>
      <c r="J40" s="146">
        <f t="shared" si="1"/>
        <v>3.730641276137879E-2</v>
      </c>
      <c r="K40" s="188"/>
      <c r="L40" s="188" t="s">
        <v>76</v>
      </c>
      <c r="M40" s="357"/>
    </row>
    <row r="41" spans="1:13" x14ac:dyDescent="0.35">
      <c r="A41" s="137">
        <v>40</v>
      </c>
      <c r="B41" s="137">
        <v>125</v>
      </c>
      <c r="C41" s="137">
        <v>8</v>
      </c>
      <c r="D41" s="187">
        <v>20</v>
      </c>
      <c r="E41" s="137"/>
      <c r="F41" s="138"/>
      <c r="G41" s="138"/>
      <c r="H41" s="138"/>
      <c r="I41" s="336"/>
      <c r="J41" s="241">
        <f t="shared" si="1"/>
        <v>3.6442474781641601E-2</v>
      </c>
      <c r="K41" s="336"/>
      <c r="L41" s="188" t="s">
        <v>76</v>
      </c>
      <c r="M41" s="357"/>
    </row>
    <row r="42" spans="1:13" x14ac:dyDescent="0.35">
      <c r="A42" s="137">
        <v>41</v>
      </c>
      <c r="B42" s="137">
        <v>125</v>
      </c>
      <c r="C42" s="137">
        <v>9</v>
      </c>
      <c r="D42" s="187"/>
      <c r="E42" s="137">
        <v>19</v>
      </c>
      <c r="F42" s="137">
        <v>6</v>
      </c>
      <c r="G42" s="137"/>
      <c r="H42" s="137"/>
      <c r="I42" s="188"/>
      <c r="J42" s="146">
        <f t="shared" si="1"/>
        <v>3.7542032210398028E-2</v>
      </c>
      <c r="K42" s="188"/>
      <c r="L42" s="188" t="s">
        <v>12</v>
      </c>
      <c r="M42" s="357"/>
    </row>
    <row r="43" spans="1:13" x14ac:dyDescent="0.35">
      <c r="A43" s="137">
        <v>42</v>
      </c>
      <c r="B43" s="137">
        <v>125</v>
      </c>
      <c r="C43" s="137">
        <v>8</v>
      </c>
      <c r="D43" s="187">
        <v>10</v>
      </c>
      <c r="E43" s="137"/>
      <c r="F43" s="138"/>
      <c r="G43" s="138"/>
      <c r="H43" s="138"/>
      <c r="I43" s="336"/>
      <c r="J43" s="241">
        <f t="shared" si="1"/>
        <v>1.2880529879718152E-2</v>
      </c>
      <c r="K43" s="336"/>
      <c r="L43" s="188" t="s">
        <v>73</v>
      </c>
      <c r="M43" s="357"/>
    </row>
    <row r="44" spans="1:13" x14ac:dyDescent="0.35">
      <c r="A44" s="137">
        <v>43</v>
      </c>
      <c r="B44" s="137">
        <v>125</v>
      </c>
      <c r="C44" s="137">
        <v>9</v>
      </c>
      <c r="D44" s="187"/>
      <c r="E44" s="137">
        <v>14</v>
      </c>
      <c r="F44" s="137">
        <v>21</v>
      </c>
      <c r="G44" s="137"/>
      <c r="H44" s="137"/>
      <c r="I44" s="188"/>
      <c r="J44" s="146">
        <f t="shared" si="1"/>
        <v>5.6391588131936787E-2</v>
      </c>
      <c r="K44" s="188"/>
      <c r="L44" s="188" t="s">
        <v>78</v>
      </c>
      <c r="M44" s="357"/>
    </row>
    <row r="45" spans="1:13" x14ac:dyDescent="0.35">
      <c r="A45" s="137">
        <v>44</v>
      </c>
      <c r="B45" s="137">
        <v>125</v>
      </c>
      <c r="C45" s="137">
        <v>8</v>
      </c>
      <c r="D45" s="187">
        <v>18</v>
      </c>
      <c r="E45" s="137"/>
      <c r="F45" s="138"/>
      <c r="G45" s="138"/>
      <c r="H45" s="138"/>
      <c r="I45" s="336"/>
      <c r="J45" s="241">
        <f t="shared" si="1"/>
        <v>3.0473448739820989E-2</v>
      </c>
      <c r="K45" s="336"/>
      <c r="L45" s="188" t="s">
        <v>76</v>
      </c>
      <c r="M45" s="357"/>
    </row>
    <row r="46" spans="1:13" x14ac:dyDescent="0.35">
      <c r="A46" s="137">
        <v>45</v>
      </c>
      <c r="B46" s="137">
        <v>125</v>
      </c>
      <c r="C46" s="137">
        <v>8</v>
      </c>
      <c r="D46" s="187"/>
      <c r="E46" s="137">
        <v>8</v>
      </c>
      <c r="F46" s="137">
        <v>20</v>
      </c>
      <c r="G46" s="138"/>
      <c r="H46" s="138"/>
      <c r="I46" s="336"/>
      <c r="J46" s="241">
        <f t="shared" si="1"/>
        <v>4.1469023027385268E-2</v>
      </c>
      <c r="K46" s="336"/>
      <c r="L46" s="188" t="s">
        <v>76</v>
      </c>
      <c r="M46" s="357" t="s">
        <v>97</v>
      </c>
    </row>
    <row r="47" spans="1:13" x14ac:dyDescent="0.35">
      <c r="A47" s="137">
        <v>46</v>
      </c>
      <c r="B47" s="137">
        <v>125</v>
      </c>
      <c r="C47" s="137">
        <v>7.5</v>
      </c>
      <c r="D47" s="187">
        <v>13</v>
      </c>
      <c r="E47" s="137"/>
      <c r="F47" s="138"/>
      <c r="G47" s="138"/>
      <c r="H47" s="138"/>
      <c r="I47" s="336"/>
      <c r="J47" s="241">
        <f t="shared" si="1"/>
        <v>1.7691093630527524E-2</v>
      </c>
      <c r="K47" s="336"/>
      <c r="L47" s="188" t="s">
        <v>76</v>
      </c>
      <c r="M47" s="357"/>
    </row>
    <row r="48" spans="1:13" x14ac:dyDescent="0.35">
      <c r="A48" s="137">
        <v>47</v>
      </c>
      <c r="B48" s="137">
        <v>125</v>
      </c>
      <c r="C48" s="137">
        <v>8</v>
      </c>
      <c r="D48" s="187">
        <v>19</v>
      </c>
      <c r="E48" s="137"/>
      <c r="F48" s="138"/>
      <c r="G48" s="138"/>
      <c r="H48" s="138"/>
      <c r="I48" s="336"/>
      <c r="J48" s="241">
        <f t="shared" si="1"/>
        <v>3.337942194439155E-2</v>
      </c>
      <c r="K48" s="336"/>
      <c r="L48" s="188" t="s">
        <v>76</v>
      </c>
      <c r="M48" s="357"/>
    </row>
    <row r="49" spans="1:13" x14ac:dyDescent="0.35">
      <c r="A49" s="137">
        <v>48</v>
      </c>
      <c r="B49" s="137">
        <v>125</v>
      </c>
      <c r="C49" s="137">
        <v>5</v>
      </c>
      <c r="D49" s="187">
        <v>11</v>
      </c>
      <c r="E49" s="137"/>
      <c r="F49" s="138"/>
      <c r="G49" s="138"/>
      <c r="H49" s="138"/>
      <c r="I49" s="336"/>
      <c r="J49" s="241">
        <f t="shared" si="1"/>
        <v>1.1466813185602744E-2</v>
      </c>
      <c r="K49" s="336"/>
      <c r="L49" s="188" t="s">
        <v>73</v>
      </c>
      <c r="M49" s="357"/>
    </row>
    <row r="50" spans="1:13" x14ac:dyDescent="0.35">
      <c r="A50" s="137">
        <v>49</v>
      </c>
      <c r="B50" s="137">
        <v>46</v>
      </c>
      <c r="C50" s="137">
        <v>2</v>
      </c>
      <c r="D50" s="187">
        <v>5</v>
      </c>
      <c r="E50" s="137"/>
      <c r="F50" s="138"/>
      <c r="G50" s="138"/>
      <c r="H50" s="138"/>
      <c r="I50" s="336"/>
      <c r="J50" s="241">
        <f t="shared" si="1"/>
        <v>2.2776546738526001E-3</v>
      </c>
      <c r="K50" s="336"/>
      <c r="L50" s="188"/>
      <c r="M50" s="357"/>
    </row>
    <row r="51" spans="1:13" x14ac:dyDescent="0.35">
      <c r="A51" s="137">
        <v>50</v>
      </c>
      <c r="B51" s="137">
        <v>46</v>
      </c>
      <c r="C51" s="137">
        <v>2</v>
      </c>
      <c r="D51" s="187">
        <v>5</v>
      </c>
      <c r="E51" s="146"/>
      <c r="F51" s="146"/>
      <c r="G51" s="146"/>
      <c r="H51" s="137"/>
      <c r="I51" s="187"/>
      <c r="J51" s="146">
        <f t="shared" si="1"/>
        <v>2.2776546738526001E-3</v>
      </c>
      <c r="K51" s="188"/>
      <c r="L51" s="187"/>
      <c r="M51" s="357"/>
    </row>
    <row r="52" spans="1:13" x14ac:dyDescent="0.35">
      <c r="A52" s="137">
        <v>51</v>
      </c>
      <c r="B52" s="137">
        <v>46</v>
      </c>
      <c r="C52" s="137">
        <v>2</v>
      </c>
      <c r="D52" s="187">
        <v>5</v>
      </c>
      <c r="E52" s="146"/>
      <c r="F52" s="146"/>
      <c r="G52" s="146"/>
      <c r="H52" s="137"/>
      <c r="I52" s="187"/>
      <c r="J52" s="146">
        <f t="shared" si="1"/>
        <v>2.2776546738526001E-3</v>
      </c>
      <c r="K52" s="188"/>
      <c r="L52" s="187"/>
      <c r="M52" s="357"/>
    </row>
    <row r="53" spans="1:13" x14ac:dyDescent="0.35">
      <c r="A53" s="137">
        <v>52</v>
      </c>
      <c r="B53" s="137">
        <v>46</v>
      </c>
      <c r="C53" s="137">
        <v>2</v>
      </c>
      <c r="D53" s="187">
        <v>5</v>
      </c>
      <c r="E53" s="146"/>
      <c r="F53" s="146"/>
      <c r="G53" s="146"/>
      <c r="H53" s="137"/>
      <c r="I53" s="187"/>
      <c r="J53" s="146">
        <f t="shared" si="1"/>
        <v>2.2776546738526001E-3</v>
      </c>
      <c r="K53" s="188"/>
      <c r="L53" s="187"/>
      <c r="M53" s="357"/>
    </row>
    <row r="54" spans="1:13" x14ac:dyDescent="0.35">
      <c r="A54" s="137">
        <v>53</v>
      </c>
      <c r="B54" s="137">
        <v>46</v>
      </c>
      <c r="C54" s="137">
        <v>2</v>
      </c>
      <c r="D54" s="187">
        <v>5</v>
      </c>
      <c r="E54" s="146"/>
      <c r="F54" s="146"/>
      <c r="G54" s="146"/>
      <c r="H54" s="137"/>
      <c r="I54" s="187"/>
      <c r="J54" s="146">
        <f t="shared" si="1"/>
        <v>2.2776546738526001E-3</v>
      </c>
      <c r="K54" s="188"/>
      <c r="L54" s="187"/>
      <c r="M54" s="357"/>
    </row>
    <row r="55" spans="1:13" x14ac:dyDescent="0.35">
      <c r="A55" s="137">
        <v>54</v>
      </c>
      <c r="B55" s="137">
        <v>125</v>
      </c>
      <c r="C55" s="137">
        <v>8</v>
      </c>
      <c r="D55" s="137"/>
      <c r="E55" s="137">
        <v>12</v>
      </c>
      <c r="F55" s="137">
        <v>16</v>
      </c>
      <c r="G55" s="137"/>
      <c r="H55" s="137"/>
      <c r="I55" s="187"/>
      <c r="J55" s="146">
        <f t="shared" si="1"/>
        <v>3.6442474781641601E-2</v>
      </c>
      <c r="K55" s="188"/>
      <c r="L55" s="187" t="s">
        <v>78</v>
      </c>
      <c r="M55" s="357"/>
    </row>
    <row r="56" spans="1:13" x14ac:dyDescent="0.35">
      <c r="A56" s="137">
        <v>55</v>
      </c>
      <c r="B56" s="137">
        <v>125</v>
      </c>
      <c r="C56" s="137">
        <v>8</v>
      </c>
      <c r="D56" s="137"/>
      <c r="E56" s="137">
        <v>18</v>
      </c>
      <c r="F56" s="137">
        <v>16</v>
      </c>
      <c r="G56" s="137"/>
      <c r="H56" s="137"/>
      <c r="I56" s="187"/>
      <c r="J56" s="146">
        <f t="shared" si="1"/>
        <v>5.0579641722795665E-2</v>
      </c>
      <c r="K56" s="188"/>
      <c r="L56" s="187" t="s">
        <v>76</v>
      </c>
      <c r="M56" s="357"/>
    </row>
    <row r="57" spans="1:13" x14ac:dyDescent="0.35">
      <c r="A57" s="137">
        <v>56</v>
      </c>
      <c r="B57" s="137">
        <v>125</v>
      </c>
      <c r="C57" s="137">
        <v>4</v>
      </c>
      <c r="D57" s="137">
        <v>8</v>
      </c>
      <c r="E57" s="137"/>
      <c r="F57" s="137"/>
      <c r="G57" s="137"/>
      <c r="H57" s="137"/>
      <c r="I57" s="187"/>
      <c r="J57" s="146">
        <f t="shared" si="1"/>
        <v>6.2831853071795857E-3</v>
      </c>
      <c r="K57" s="188"/>
      <c r="L57" s="187" t="s">
        <v>74</v>
      </c>
      <c r="M57" s="357"/>
    </row>
    <row r="58" spans="1:13" x14ac:dyDescent="0.35">
      <c r="A58" s="137">
        <v>57</v>
      </c>
      <c r="B58" s="137">
        <v>125</v>
      </c>
      <c r="C58" s="137">
        <v>7</v>
      </c>
      <c r="D58" s="137"/>
      <c r="E58" s="137">
        <v>13</v>
      </c>
      <c r="F58" s="137">
        <v>14</v>
      </c>
      <c r="G58" s="137"/>
      <c r="H58" s="137"/>
      <c r="I58" s="187"/>
      <c r="J58" s="146">
        <f t="shared" si="1"/>
        <v>3.2515483964654361E-2</v>
      </c>
      <c r="K58" s="188"/>
      <c r="L58" s="187" t="s">
        <v>76</v>
      </c>
      <c r="M58" s="357"/>
    </row>
    <row r="59" spans="1:13" x14ac:dyDescent="0.35">
      <c r="A59" s="137">
        <v>58</v>
      </c>
      <c r="B59" s="166">
        <v>125</v>
      </c>
      <c r="C59" s="166">
        <v>2</v>
      </c>
      <c r="D59" s="166">
        <v>9</v>
      </c>
      <c r="E59" s="166"/>
      <c r="F59" s="166"/>
      <c r="G59" s="166"/>
      <c r="H59" s="166"/>
      <c r="I59" s="189"/>
      <c r="J59" s="146">
        <f t="shared" si="1"/>
        <v>6.6758843888783097E-3</v>
      </c>
      <c r="K59" s="339"/>
      <c r="L59" s="189" t="s">
        <v>74</v>
      </c>
      <c r="M59" s="359"/>
    </row>
    <row r="60" spans="1:13" x14ac:dyDescent="0.35">
      <c r="A60" s="229">
        <f>SUBTOTAL(103,Tabla15[número de árboles])</f>
        <v>58</v>
      </c>
      <c r="B60" s="229" t="s">
        <v>146</v>
      </c>
      <c r="C60" s="199">
        <f>SUBTOTAL(101,Tabla15[altura])</f>
        <v>6.4561403508771926</v>
      </c>
      <c r="D60" s="199">
        <f>SUBTOTAL(101,Tabla15[diámetro])</f>
        <v>12.2</v>
      </c>
      <c r="E60" s="199">
        <f>SUBTOTAL(101,Tabla15[Hermanado1])</f>
        <v>13</v>
      </c>
      <c r="F60" s="199">
        <f>SUBTOTAL(101,Tabla15[Hermanado2])</f>
        <v>13.714285714285714</v>
      </c>
      <c r="G60" s="264">
        <f>SUBTOTAL(101,Tabla15[Hermanado3])</f>
        <v>7</v>
      </c>
      <c r="H60" s="323"/>
      <c r="I60" s="323"/>
      <c r="J60" s="323"/>
      <c r="K60" s="323"/>
      <c r="L60" s="62"/>
      <c r="M60" s="36">
        <f>SUBTOTAL(103,Tabla15[observaciones])</f>
        <v>6</v>
      </c>
    </row>
    <row r="61" spans="1:13" x14ac:dyDescent="0.35">
      <c r="A61" s="19" t="s">
        <v>53</v>
      </c>
    </row>
    <row r="62" spans="1:13" x14ac:dyDescent="0.35">
      <c r="A62" s="19"/>
    </row>
    <row r="63" spans="1:13" x14ac:dyDescent="0.35">
      <c r="A63" s="19" t="s">
        <v>54</v>
      </c>
    </row>
    <row r="64" spans="1:13" x14ac:dyDescent="0.35">
      <c r="A64" s="19"/>
    </row>
    <row r="66" spans="1:10" ht="15" thickBot="1" x14ac:dyDescent="0.4">
      <c r="A66" s="19" t="s">
        <v>64</v>
      </c>
    </row>
    <row r="67" spans="1:10" ht="15" thickBot="1" x14ac:dyDescent="0.4">
      <c r="A67" s="365" t="s">
        <v>51</v>
      </c>
      <c r="B67" s="366"/>
      <c r="C67" s="366"/>
      <c r="D67" s="366"/>
      <c r="E67" s="366"/>
      <c r="F67" s="366"/>
      <c r="G67" s="366"/>
      <c r="H67" s="366"/>
      <c r="I67" s="366"/>
      <c r="J67" s="367"/>
    </row>
    <row r="68" spans="1:10" ht="15" thickBot="1" x14ac:dyDescent="0.4">
      <c r="A68" s="19" t="s">
        <v>63</v>
      </c>
    </row>
    <row r="69" spans="1:10" ht="15" thickBot="1" x14ac:dyDescent="0.4">
      <c r="A69" s="365" t="s">
        <v>137</v>
      </c>
      <c r="B69" s="366"/>
      <c r="C69" s="366"/>
      <c r="D69" s="366"/>
      <c r="E69" s="366"/>
      <c r="F69" s="366"/>
      <c r="G69" s="366"/>
      <c r="H69" s="366"/>
      <c r="I69" s="366"/>
      <c r="J69" s="367"/>
    </row>
    <row r="70" spans="1:10" ht="15" thickBot="1" x14ac:dyDescent="0.4"/>
    <row r="71" spans="1:10" ht="15" thickBot="1" x14ac:dyDescent="0.4">
      <c r="A71" t="s">
        <v>128</v>
      </c>
      <c r="B71">
        <f>COUNT(Tabla15[[diámetro]:[Hermanado5]])</f>
        <v>81</v>
      </c>
      <c r="C71">
        <f>25*25</f>
        <v>625</v>
      </c>
      <c r="E71" s="55" t="s">
        <v>29</v>
      </c>
      <c r="F71" s="56"/>
      <c r="G71" s="29" t="s">
        <v>65</v>
      </c>
      <c r="H71" s="30"/>
      <c r="I71" s="28" t="s">
        <v>4</v>
      </c>
      <c r="J71" s="30"/>
    </row>
    <row r="72" spans="1:10" ht="15" thickBot="1" x14ac:dyDescent="0.4">
      <c r="B72">
        <f>B71*C72/C71</f>
        <v>1296</v>
      </c>
      <c r="C72">
        <v>10000</v>
      </c>
      <c r="E72" s="52" t="s">
        <v>30</v>
      </c>
      <c r="F72" s="53" t="s">
        <v>31</v>
      </c>
      <c r="G72" s="43">
        <v>125</v>
      </c>
      <c r="H72" s="21" t="s">
        <v>23</v>
      </c>
      <c r="I72" s="13" t="s">
        <v>6</v>
      </c>
      <c r="J72" s="14" t="s">
        <v>58</v>
      </c>
    </row>
    <row r="73" spans="1:10" ht="21.5" thickBot="1" x14ac:dyDescent="0.55000000000000004">
      <c r="A73" s="27" t="s">
        <v>118</v>
      </c>
      <c r="B73" s="49" t="s">
        <v>28</v>
      </c>
      <c r="C73" s="10" t="s">
        <v>52</v>
      </c>
      <c r="D73" s="51" t="s">
        <v>147</v>
      </c>
      <c r="E73" s="48" t="s">
        <v>32</v>
      </c>
      <c r="F73" s="46" t="s">
        <v>33</v>
      </c>
      <c r="G73" s="44">
        <v>130</v>
      </c>
      <c r="H73" s="23" t="s">
        <v>25</v>
      </c>
      <c r="I73" s="15" t="s">
        <v>5</v>
      </c>
      <c r="J73" s="16" t="s">
        <v>59</v>
      </c>
    </row>
    <row r="74" spans="1:10" ht="15" thickBot="1" x14ac:dyDescent="0.4">
      <c r="A74" s="10"/>
      <c r="B74" s="12">
        <v>2</v>
      </c>
      <c r="C74" s="12">
        <v>1</v>
      </c>
      <c r="D74" s="10">
        <f>B72</f>
        <v>1296</v>
      </c>
      <c r="E74" s="48" t="s">
        <v>34</v>
      </c>
      <c r="F74" s="46" t="s">
        <v>35</v>
      </c>
      <c r="G74" s="44">
        <v>46</v>
      </c>
      <c r="H74" s="23" t="s">
        <v>26</v>
      </c>
      <c r="I74" s="15" t="s">
        <v>13</v>
      </c>
      <c r="J74" s="16" t="s">
        <v>60</v>
      </c>
    </row>
    <row r="75" spans="1:10" x14ac:dyDescent="0.35">
      <c r="E75" s="45" t="s">
        <v>36</v>
      </c>
      <c r="F75" s="58" t="s">
        <v>37</v>
      </c>
      <c r="G75" s="44">
        <v>43</v>
      </c>
      <c r="H75" s="23" t="s">
        <v>27</v>
      </c>
      <c r="I75" s="15" t="s">
        <v>10</v>
      </c>
      <c r="J75" s="16" t="s">
        <v>61</v>
      </c>
    </row>
    <row r="76" spans="1:10" ht="15" thickBot="1" x14ac:dyDescent="0.4">
      <c r="E76" s="45" t="s">
        <v>16</v>
      </c>
      <c r="F76" s="46" t="s">
        <v>38</v>
      </c>
      <c r="G76" s="44">
        <v>23</v>
      </c>
      <c r="H76" s="23" t="s">
        <v>22</v>
      </c>
      <c r="I76" s="17" t="s">
        <v>12</v>
      </c>
      <c r="J76" s="18" t="s">
        <v>62</v>
      </c>
    </row>
    <row r="77" spans="1:10" x14ac:dyDescent="0.35">
      <c r="E77" s="45" t="s">
        <v>39</v>
      </c>
      <c r="F77" s="46" t="s">
        <v>40</v>
      </c>
      <c r="G77" s="44">
        <v>73</v>
      </c>
      <c r="H77" s="23" t="s">
        <v>24</v>
      </c>
    </row>
    <row r="78" spans="1:10" x14ac:dyDescent="0.35">
      <c r="E78" s="45" t="s">
        <v>41</v>
      </c>
      <c r="F78" s="46" t="s">
        <v>42</v>
      </c>
      <c r="G78" s="44">
        <v>87</v>
      </c>
      <c r="H78" s="23" t="s">
        <v>47</v>
      </c>
    </row>
    <row r="79" spans="1:10" x14ac:dyDescent="0.35">
      <c r="E79" s="45" t="s">
        <v>43</v>
      </c>
      <c r="F79" s="46" t="s">
        <v>44</v>
      </c>
      <c r="G79" s="44">
        <v>3</v>
      </c>
      <c r="H79" s="23" t="s">
        <v>48</v>
      </c>
    </row>
    <row r="80" spans="1:10" x14ac:dyDescent="0.35">
      <c r="E80" s="45" t="s">
        <v>45</v>
      </c>
      <c r="F80" s="47" t="s">
        <v>46</v>
      </c>
      <c r="G80" s="44">
        <v>82</v>
      </c>
      <c r="H80" s="23" t="s">
        <v>50</v>
      </c>
    </row>
    <row r="81" spans="7:8" x14ac:dyDescent="0.35">
      <c r="G81" s="22">
        <v>83</v>
      </c>
      <c r="H81" s="23" t="s">
        <v>49</v>
      </c>
    </row>
    <row r="82" spans="7:8" x14ac:dyDescent="0.35">
      <c r="G82" s="22">
        <v>42</v>
      </c>
      <c r="H82" s="23" t="s">
        <v>51</v>
      </c>
    </row>
    <row r="83" spans="7:8" x14ac:dyDescent="0.35">
      <c r="G83" s="22">
        <v>112</v>
      </c>
      <c r="H83" s="23" t="s">
        <v>66</v>
      </c>
    </row>
    <row r="84" spans="7:8" ht="15" thickBot="1" x14ac:dyDescent="0.4">
      <c r="G84" s="25">
        <v>113</v>
      </c>
      <c r="H84" s="26" t="s">
        <v>67</v>
      </c>
    </row>
    <row r="100" spans="1:10" x14ac:dyDescent="0.35">
      <c r="A100" t="s">
        <v>228</v>
      </c>
      <c r="B100" t="s">
        <v>206</v>
      </c>
      <c r="C100" t="s">
        <v>229</v>
      </c>
      <c r="D100" t="s">
        <v>142</v>
      </c>
      <c r="E100" t="s">
        <v>147</v>
      </c>
      <c r="F100" t="s">
        <v>225</v>
      </c>
      <c r="G100" t="s">
        <v>207</v>
      </c>
      <c r="H100" t="s">
        <v>231</v>
      </c>
      <c r="I100" t="s">
        <v>213</v>
      </c>
      <c r="J100" t="s">
        <v>215</v>
      </c>
    </row>
    <row r="101" spans="1:10" x14ac:dyDescent="0.35">
      <c r="A101" t="s">
        <v>212</v>
      </c>
      <c r="B101" s="76">
        <f>COUNTIF($D$1:$L$59,"&gt;=2,5")-COUNTIF($D$1:$L$59,"&gt;7,4")</f>
        <v>17</v>
      </c>
      <c r="C101" s="76">
        <v>5</v>
      </c>
      <c r="D101" s="76"/>
      <c r="E101" s="76">
        <f>(B101*10000)/625</f>
        <v>272</v>
      </c>
      <c r="F101" s="76">
        <f>(PI()/4)*(C101/100)^2</f>
        <v>1.9634954084936209E-3</v>
      </c>
      <c r="G101" s="76">
        <f>E101*F101</f>
        <v>0.53407075111026492</v>
      </c>
      <c r="H101" s="76"/>
      <c r="I101" s="76"/>
      <c r="J101" s="76"/>
    </row>
    <row r="102" spans="1:10" x14ac:dyDescent="0.35">
      <c r="A102" t="s">
        <v>211</v>
      </c>
      <c r="B102" s="76">
        <f>COUNTIF($D$1:$L$59,"&gt;=7,5")-COUNTIF($D$1:$L$59,"&gt;12,4")</f>
        <v>24</v>
      </c>
      <c r="C102" s="76">
        <v>10</v>
      </c>
      <c r="D102" s="76"/>
      <c r="E102" s="76">
        <f t="shared" ref="E102:E108" si="2">(B102*10000)/625</f>
        <v>384</v>
      </c>
      <c r="F102" s="76">
        <f t="shared" ref="F102:F108" si="3">(PI()/4)*(C102/100)^2</f>
        <v>7.8539816339744835E-3</v>
      </c>
      <c r="G102" s="76">
        <f t="shared" ref="G102:G108" si="4">E102*F102</f>
        <v>3.0159289474462017</v>
      </c>
      <c r="H102" s="76"/>
      <c r="I102" s="76"/>
      <c r="J102" s="76"/>
    </row>
    <row r="103" spans="1:10" x14ac:dyDescent="0.35">
      <c r="A103" t="s">
        <v>209</v>
      </c>
      <c r="B103" s="76">
        <f>COUNTIF($D$1:$L$59,"&gt;=12,5")-COUNTIF($D$1:$L$59,"&gt;17,4")</f>
        <v>21</v>
      </c>
      <c r="C103" s="76">
        <v>15</v>
      </c>
      <c r="D103" s="76"/>
      <c r="E103" s="76">
        <f t="shared" si="2"/>
        <v>336</v>
      </c>
      <c r="F103" s="76">
        <f t="shared" si="3"/>
        <v>1.7671458676442587E-2</v>
      </c>
      <c r="G103" s="76">
        <f t="shared" si="4"/>
        <v>5.9376101152847092</v>
      </c>
      <c r="H103" s="76"/>
      <c r="I103" s="76"/>
      <c r="J103" s="76"/>
    </row>
    <row r="104" spans="1:10" x14ac:dyDescent="0.35">
      <c r="A104" t="s">
        <v>208</v>
      </c>
      <c r="B104" s="76">
        <f>COUNTIF($D$1:$L$59,"&gt;=17,5")-COUNTIF($D$1:$L$59,"&gt;22,4")</f>
        <v>16</v>
      </c>
      <c r="C104" s="76">
        <v>20</v>
      </c>
      <c r="D104" s="76"/>
      <c r="E104" s="76">
        <f t="shared" si="2"/>
        <v>256</v>
      </c>
      <c r="F104" s="76">
        <f t="shared" si="3"/>
        <v>3.1415926535897934E-2</v>
      </c>
      <c r="G104" s="76">
        <f t="shared" si="4"/>
        <v>8.0424771931898711</v>
      </c>
      <c r="H104" s="76"/>
      <c r="I104" s="76"/>
      <c r="J104" s="76"/>
    </row>
    <row r="105" spans="1:10" x14ac:dyDescent="0.35">
      <c r="A105" t="s">
        <v>210</v>
      </c>
      <c r="B105" s="76">
        <f>COUNTIF($D$1:$L$59,"&gt;=22,5")-COUNTIF($D$1:$L$59,"&gt;27,4")</f>
        <v>3</v>
      </c>
      <c r="C105" s="76">
        <v>25</v>
      </c>
      <c r="D105" s="76"/>
      <c r="E105" s="76">
        <f t="shared" si="2"/>
        <v>48</v>
      </c>
      <c r="F105" s="76">
        <f t="shared" si="3"/>
        <v>4.9087385212340517E-2</v>
      </c>
      <c r="G105" s="76">
        <f t="shared" si="4"/>
        <v>2.3561944901923448</v>
      </c>
      <c r="H105" s="76"/>
      <c r="I105" s="76"/>
      <c r="J105" s="76"/>
    </row>
    <row r="106" spans="1:10" x14ac:dyDescent="0.35">
      <c r="A106" t="s">
        <v>221</v>
      </c>
      <c r="B106" s="76">
        <f>COUNTIF($D$1:$L$44,"&gt;=27,5")-COUNTIF($D$1:$L$44,"&gt;32,4")</f>
        <v>0</v>
      </c>
      <c r="C106" s="76">
        <v>30</v>
      </c>
      <c r="D106" s="76"/>
      <c r="E106" s="76">
        <f t="shared" si="2"/>
        <v>0</v>
      </c>
      <c r="F106" s="76">
        <f t="shared" si="3"/>
        <v>7.0685834705770348E-2</v>
      </c>
      <c r="G106" s="76">
        <f t="shared" si="4"/>
        <v>0</v>
      </c>
      <c r="H106" s="76"/>
      <c r="I106" s="76"/>
      <c r="J106" s="76"/>
    </row>
    <row r="107" spans="1:10" x14ac:dyDescent="0.35">
      <c r="A107" t="s">
        <v>222</v>
      </c>
      <c r="B107" s="76">
        <f>COUNTIF($D$1:$L$44,"&gt;=32,5")-COUNTIF($D$1:$L$44,"&gt;37,4")</f>
        <v>0</v>
      </c>
      <c r="C107" s="76">
        <v>35</v>
      </c>
      <c r="D107" s="76"/>
      <c r="E107" s="76">
        <f t="shared" si="2"/>
        <v>0</v>
      </c>
      <c r="F107" s="76">
        <f t="shared" si="3"/>
        <v>9.6211275016187398E-2</v>
      </c>
      <c r="G107" s="76">
        <f t="shared" si="4"/>
        <v>0</v>
      </c>
      <c r="H107" s="76"/>
      <c r="I107" s="76"/>
      <c r="J107" s="76"/>
    </row>
    <row r="108" spans="1:10" x14ac:dyDescent="0.35">
      <c r="A108" t="s">
        <v>223</v>
      </c>
      <c r="B108" s="76">
        <f>COUNTIF($D$1:$L$44,"&gt;=37,5")-COUNTIF($D$1:$L$44,"&gt;42,4")</f>
        <v>0</v>
      </c>
      <c r="C108" s="76">
        <v>40</v>
      </c>
      <c r="D108" s="76"/>
      <c r="E108" s="76">
        <f t="shared" si="2"/>
        <v>0</v>
      </c>
      <c r="F108" s="76">
        <f t="shared" si="3"/>
        <v>0.12566370614359174</v>
      </c>
      <c r="G108" s="76">
        <f t="shared" si="4"/>
        <v>0</v>
      </c>
      <c r="H108" s="76"/>
      <c r="I108" s="76"/>
      <c r="J108" s="76"/>
    </row>
    <row r="109" spans="1:10" x14ac:dyDescent="0.35">
      <c r="A109" t="s">
        <v>146</v>
      </c>
      <c r="B109" s="78">
        <f>SUBTOTAL(109,Tabla36[NÚMERO DE PIES])</f>
        <v>81</v>
      </c>
      <c r="C109" s="78">
        <f>SUBTOTAL(103,Tabla36[CLASE DIAMETRICA])</f>
        <v>8</v>
      </c>
      <c r="D109" s="78"/>
      <c r="E109" s="78">
        <f>SUBTOTAL(109,Tabla36[pies/ha])</f>
        <v>1296</v>
      </c>
      <c r="F109" s="78">
        <f>SUBTOTAL(101,Tabla36[gn (m2)])</f>
        <v>5.0069132916587329E-2</v>
      </c>
      <c r="G109" s="78">
        <f>SUBTOTAL(101,Tabla36[G (m2/ha.)])</f>
        <v>2.4857851871529237</v>
      </c>
      <c r="H109" s="78"/>
      <c r="I109" s="78"/>
      <c r="J109" s="78">
        <f>SUBTOTAL(103,Tabla36[AB (m2) final])</f>
        <v>0</v>
      </c>
    </row>
  </sheetData>
  <mergeCells count="2">
    <mergeCell ref="A69:J69"/>
    <mergeCell ref="A67:J67"/>
  </mergeCells>
  <pageMargins left="0.7" right="0.7" top="0.75" bottom="0.75" header="0.3" footer="0.3"/>
  <pageSetup paperSize="8" scale="65" orientation="portrait" r:id="rId1"/>
  <headerFooter>
    <oddHeader>&amp;C
Parcela &amp;"-,Negrita"&amp;KC00000C4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zoomScale="50" zoomScaleNormal="100" zoomScalePageLayoutView="50" workbookViewId="0">
      <selection activeCell="C110" sqref="C110"/>
    </sheetView>
  </sheetViews>
  <sheetFormatPr baseColWidth="10" defaultColWidth="8.7265625" defaultRowHeight="14.5" x14ac:dyDescent="0.35"/>
  <cols>
    <col min="1" max="1" width="20.1796875" customWidth="1"/>
    <col min="2" max="2" width="16.7265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9" customWidth="1"/>
    <col min="11" max="11" width="11.5429687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33" t="s">
        <v>195</v>
      </c>
      <c r="J1" s="33" t="s">
        <v>239</v>
      </c>
      <c r="K1" s="33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4</v>
      </c>
      <c r="D2" s="174"/>
      <c r="E2" s="174">
        <v>7</v>
      </c>
      <c r="F2" s="190">
        <v>7</v>
      </c>
      <c r="G2" s="190"/>
      <c r="H2" s="190"/>
      <c r="I2" s="190"/>
      <c r="J2" s="237">
        <f t="shared" ref="J2:J33" si="0">PI()*(((C2)/2)/100)^2+PI()*(((D2)/2)/100)^2+PI()*(((E2)/2)/100)^2+PI()*(((F2)/2)/100)^2+PI()*(((G2)/2)/100)^2+PI()*(((H2)/2)/100)^2</f>
        <v>8.9535390627309107E-3</v>
      </c>
      <c r="K2" s="190"/>
      <c r="L2" s="174" t="s">
        <v>75</v>
      </c>
      <c r="M2" s="175"/>
    </row>
    <row r="3" spans="1:13" x14ac:dyDescent="0.35">
      <c r="A3" s="176">
        <v>2</v>
      </c>
      <c r="B3" s="137">
        <v>125</v>
      </c>
      <c r="C3" s="137">
        <v>8</v>
      </c>
      <c r="D3" s="137">
        <v>13</v>
      </c>
      <c r="E3" s="137">
        <v>11</v>
      </c>
      <c r="F3" s="138"/>
      <c r="G3" s="138"/>
      <c r="H3" s="138"/>
      <c r="I3" s="138"/>
      <c r="J3" s="241">
        <f t="shared" si="0"/>
        <v>2.7803094984269673E-2</v>
      </c>
      <c r="K3" s="138"/>
      <c r="L3" s="137" t="s">
        <v>76</v>
      </c>
      <c r="M3" s="177" t="s">
        <v>97</v>
      </c>
    </row>
    <row r="4" spans="1:13" x14ac:dyDescent="0.35">
      <c r="A4" s="176">
        <v>3</v>
      </c>
      <c r="B4" s="137">
        <v>125</v>
      </c>
      <c r="C4" s="137">
        <v>8.5</v>
      </c>
      <c r="D4" s="137"/>
      <c r="E4" s="137">
        <v>15</v>
      </c>
      <c r="F4" s="138">
        <v>13</v>
      </c>
      <c r="G4" s="138"/>
      <c r="H4" s="138"/>
      <c r="I4" s="138"/>
      <c r="J4" s="241">
        <f t="shared" si="0"/>
        <v>3.6619189368406031E-2</v>
      </c>
      <c r="K4" s="138"/>
      <c r="L4" s="137" t="s">
        <v>73</v>
      </c>
      <c r="M4" s="177"/>
    </row>
    <row r="5" spans="1:13" x14ac:dyDescent="0.35">
      <c r="A5" s="176">
        <v>4</v>
      </c>
      <c r="B5" s="137">
        <v>125</v>
      </c>
      <c r="C5" s="137">
        <v>8.5</v>
      </c>
      <c r="D5" s="137"/>
      <c r="E5" s="137">
        <v>17</v>
      </c>
      <c r="F5" s="138">
        <v>15</v>
      </c>
      <c r="G5" s="138"/>
      <c r="H5" s="138"/>
      <c r="I5" s="138"/>
      <c r="J5" s="241">
        <f t="shared" si="0"/>
        <v>4.6043967329175414E-2</v>
      </c>
      <c r="K5" s="138"/>
      <c r="L5" s="137" t="s">
        <v>76</v>
      </c>
      <c r="M5" s="177"/>
    </row>
    <row r="6" spans="1:13" x14ac:dyDescent="0.35">
      <c r="A6" s="176">
        <v>5</v>
      </c>
      <c r="B6" s="137">
        <v>125</v>
      </c>
      <c r="C6" s="137">
        <v>4</v>
      </c>
      <c r="D6" s="137">
        <v>7</v>
      </c>
      <c r="E6" s="137"/>
      <c r="F6" s="138"/>
      <c r="G6" s="138"/>
      <c r="H6" s="138"/>
      <c r="I6" s="138"/>
      <c r="J6" s="241">
        <f t="shared" si="0"/>
        <v>5.1050880620834137E-3</v>
      </c>
      <c r="K6" s="138"/>
      <c r="L6" s="137" t="s">
        <v>75</v>
      </c>
      <c r="M6" s="177" t="s">
        <v>84</v>
      </c>
    </row>
    <row r="7" spans="1:13" x14ac:dyDescent="0.35">
      <c r="A7" s="176">
        <v>6</v>
      </c>
      <c r="B7" s="137">
        <v>125</v>
      </c>
      <c r="C7" s="137">
        <v>9.5</v>
      </c>
      <c r="D7" s="137">
        <v>22</v>
      </c>
      <c r="E7" s="137"/>
      <c r="F7" s="138"/>
      <c r="G7" s="138"/>
      <c r="H7" s="138"/>
      <c r="I7" s="138"/>
      <c r="J7" s="241">
        <f t="shared" si="0"/>
        <v>4.510148953309847E-2</v>
      </c>
      <c r="K7" s="138"/>
      <c r="L7" s="137" t="s">
        <v>12</v>
      </c>
      <c r="M7" s="177"/>
    </row>
    <row r="8" spans="1:13" x14ac:dyDescent="0.35">
      <c r="A8" s="176">
        <v>7</v>
      </c>
      <c r="B8" s="137">
        <v>125</v>
      </c>
      <c r="C8" s="137">
        <v>6</v>
      </c>
      <c r="D8" s="137">
        <v>13</v>
      </c>
      <c r="E8" s="137"/>
      <c r="F8" s="138"/>
      <c r="G8" s="138"/>
      <c r="H8" s="138"/>
      <c r="I8" s="138"/>
      <c r="J8" s="241">
        <f t="shared" si="0"/>
        <v>1.6100662349647691E-2</v>
      </c>
      <c r="K8" s="138"/>
      <c r="L8" s="137" t="s">
        <v>74</v>
      </c>
      <c r="M8" s="177"/>
    </row>
    <row r="9" spans="1:13" x14ac:dyDescent="0.35">
      <c r="A9" s="176">
        <v>8</v>
      </c>
      <c r="B9" s="137">
        <v>125</v>
      </c>
      <c r="C9" s="137">
        <v>8.5</v>
      </c>
      <c r="D9" s="137">
        <v>18</v>
      </c>
      <c r="E9" s="137"/>
      <c r="F9" s="138"/>
      <c r="G9" s="138"/>
      <c r="H9" s="138"/>
      <c r="I9" s="138"/>
      <c r="J9" s="241">
        <f t="shared" si="0"/>
        <v>3.1121402224623888E-2</v>
      </c>
      <c r="K9" s="138"/>
      <c r="L9" s="137" t="s">
        <v>76</v>
      </c>
      <c r="M9" s="177"/>
    </row>
    <row r="10" spans="1:13" x14ac:dyDescent="0.35">
      <c r="A10" s="176">
        <v>9</v>
      </c>
      <c r="B10" s="137">
        <v>125</v>
      </c>
      <c r="C10" s="137">
        <v>6.5</v>
      </c>
      <c r="D10" s="137">
        <v>18</v>
      </c>
      <c r="E10" s="137"/>
      <c r="F10" s="138"/>
      <c r="G10" s="138"/>
      <c r="H10" s="138"/>
      <c r="I10" s="138"/>
      <c r="J10" s="241">
        <f t="shared" si="0"/>
        <v>2.8765207734431541E-2</v>
      </c>
      <c r="K10" s="138"/>
      <c r="L10" s="137" t="s">
        <v>73</v>
      </c>
      <c r="M10" s="177"/>
    </row>
    <row r="11" spans="1:13" x14ac:dyDescent="0.35">
      <c r="A11" s="176">
        <v>10</v>
      </c>
      <c r="B11" s="137">
        <v>125</v>
      </c>
      <c r="C11" s="137">
        <v>7</v>
      </c>
      <c r="D11" s="137">
        <v>16</v>
      </c>
      <c r="E11" s="137"/>
      <c r="F11" s="138"/>
      <c r="G11" s="138"/>
      <c r="H11" s="138"/>
      <c r="I11" s="138"/>
      <c r="J11" s="241">
        <f t="shared" si="0"/>
        <v>2.3954643983622174E-2</v>
      </c>
      <c r="K11" s="138"/>
      <c r="L11" s="137" t="s">
        <v>10</v>
      </c>
      <c r="M11" s="177"/>
    </row>
    <row r="12" spans="1:13" x14ac:dyDescent="0.35">
      <c r="A12" s="176">
        <v>11</v>
      </c>
      <c r="B12" s="137">
        <v>125</v>
      </c>
      <c r="C12" s="137">
        <v>8</v>
      </c>
      <c r="D12" s="137"/>
      <c r="E12" s="137">
        <v>5</v>
      </c>
      <c r="F12" s="138">
        <v>9</v>
      </c>
      <c r="G12" s="138"/>
      <c r="H12" s="138"/>
      <c r="I12" s="138"/>
      <c r="J12" s="241">
        <f t="shared" si="0"/>
        <v>1.3351768777756619E-2</v>
      </c>
      <c r="K12" s="138"/>
      <c r="L12" s="137" t="s">
        <v>74</v>
      </c>
      <c r="M12" s="177" t="s">
        <v>97</v>
      </c>
    </row>
    <row r="13" spans="1:13" x14ac:dyDescent="0.35">
      <c r="A13" s="176">
        <v>12</v>
      </c>
      <c r="B13" s="137">
        <v>125</v>
      </c>
      <c r="C13" s="137">
        <v>7</v>
      </c>
      <c r="D13" s="137"/>
      <c r="E13" s="137">
        <v>10</v>
      </c>
      <c r="F13" s="138">
        <v>12</v>
      </c>
      <c r="G13" s="138"/>
      <c r="H13" s="138"/>
      <c r="I13" s="138"/>
      <c r="J13" s="241">
        <f t="shared" si="0"/>
        <v>2.3012166187545237E-2</v>
      </c>
      <c r="K13" s="138"/>
      <c r="L13" s="137" t="s">
        <v>74</v>
      </c>
      <c r="M13" s="177" t="s">
        <v>97</v>
      </c>
    </row>
    <row r="14" spans="1:13" x14ac:dyDescent="0.35">
      <c r="A14" s="176">
        <v>13</v>
      </c>
      <c r="B14" s="137">
        <v>125</v>
      </c>
      <c r="C14" s="137">
        <v>8</v>
      </c>
      <c r="D14" s="137">
        <v>19</v>
      </c>
      <c r="E14" s="137"/>
      <c r="F14" s="138"/>
      <c r="G14" s="138"/>
      <c r="H14" s="138"/>
      <c r="I14" s="138"/>
      <c r="J14" s="241">
        <f t="shared" si="0"/>
        <v>3.337942194439155E-2</v>
      </c>
      <c r="K14" s="138"/>
      <c r="L14" s="137" t="s">
        <v>13</v>
      </c>
      <c r="M14" s="177"/>
    </row>
    <row r="15" spans="1:13" x14ac:dyDescent="0.35">
      <c r="A15" s="176">
        <v>14</v>
      </c>
      <c r="B15" s="137">
        <v>125</v>
      </c>
      <c r="C15" s="137">
        <v>8.5</v>
      </c>
      <c r="D15" s="137"/>
      <c r="E15" s="137">
        <v>15</v>
      </c>
      <c r="F15" s="138">
        <v>13</v>
      </c>
      <c r="G15" s="138"/>
      <c r="H15" s="138"/>
      <c r="I15" s="138"/>
      <c r="J15" s="241">
        <f t="shared" si="0"/>
        <v>3.6619189368406031E-2</v>
      </c>
      <c r="K15" s="138"/>
      <c r="L15" s="137" t="s">
        <v>76</v>
      </c>
      <c r="M15" s="177"/>
    </row>
    <row r="16" spans="1:13" x14ac:dyDescent="0.35">
      <c r="A16" s="176">
        <v>15</v>
      </c>
      <c r="B16" s="137">
        <v>125</v>
      </c>
      <c r="C16" s="137">
        <v>8</v>
      </c>
      <c r="D16" s="137">
        <v>11</v>
      </c>
      <c r="E16" s="137"/>
      <c r="F16" s="138"/>
      <c r="G16" s="138"/>
      <c r="H16" s="138"/>
      <c r="I16" s="138"/>
      <c r="J16" s="241">
        <f t="shared" si="0"/>
        <v>1.4529866022852793E-2</v>
      </c>
      <c r="K16" s="138"/>
      <c r="L16" s="137" t="s">
        <v>73</v>
      </c>
      <c r="M16" s="177" t="s">
        <v>101</v>
      </c>
    </row>
    <row r="17" spans="1:13" x14ac:dyDescent="0.35">
      <c r="A17" s="176">
        <v>16</v>
      </c>
      <c r="B17" s="137">
        <v>125</v>
      </c>
      <c r="C17" s="137">
        <v>8.5</v>
      </c>
      <c r="D17" s="137">
        <v>17</v>
      </c>
      <c r="E17" s="137"/>
      <c r="F17" s="138"/>
      <c r="G17" s="138"/>
      <c r="H17" s="138"/>
      <c r="I17" s="138"/>
      <c r="J17" s="241">
        <f t="shared" si="0"/>
        <v>2.8372508652732827E-2</v>
      </c>
      <c r="K17" s="138"/>
      <c r="L17" s="137" t="s">
        <v>13</v>
      </c>
      <c r="M17" s="177"/>
    </row>
    <row r="18" spans="1:13" x14ac:dyDescent="0.35">
      <c r="A18" s="176">
        <v>17</v>
      </c>
      <c r="B18" s="137">
        <v>125</v>
      </c>
      <c r="C18" s="137">
        <v>8</v>
      </c>
      <c r="D18" s="137"/>
      <c r="E18" s="137">
        <v>20</v>
      </c>
      <c r="F18" s="138">
        <v>10</v>
      </c>
      <c r="G18" s="138"/>
      <c r="H18" s="138"/>
      <c r="I18" s="138"/>
      <c r="J18" s="241">
        <f t="shared" si="0"/>
        <v>4.4296456415616081E-2</v>
      </c>
      <c r="K18" s="138"/>
      <c r="L18" s="137" t="s">
        <v>73</v>
      </c>
      <c r="M18" s="177"/>
    </row>
    <row r="19" spans="1:13" x14ac:dyDescent="0.35">
      <c r="A19" s="176">
        <v>18</v>
      </c>
      <c r="B19" s="137">
        <v>125</v>
      </c>
      <c r="C19" s="137">
        <v>8.5</v>
      </c>
      <c r="D19" s="137">
        <v>20</v>
      </c>
      <c r="E19" s="137"/>
      <c r="F19" s="138"/>
      <c r="G19" s="138"/>
      <c r="H19" s="138"/>
      <c r="I19" s="138"/>
      <c r="J19" s="241">
        <f t="shared" si="0"/>
        <v>3.70904282664445E-2</v>
      </c>
      <c r="K19" s="138"/>
      <c r="L19" s="137" t="s">
        <v>76</v>
      </c>
      <c r="M19" s="177"/>
    </row>
    <row r="20" spans="1:13" x14ac:dyDescent="0.35">
      <c r="A20" s="176">
        <v>19</v>
      </c>
      <c r="B20" s="137">
        <v>125</v>
      </c>
      <c r="C20" s="137">
        <v>8.5</v>
      </c>
      <c r="D20" s="137">
        <v>21</v>
      </c>
      <c r="E20" s="137"/>
      <c r="F20" s="138"/>
      <c r="G20" s="138"/>
      <c r="H20" s="138"/>
      <c r="I20" s="138"/>
      <c r="J20" s="241">
        <f t="shared" si="0"/>
        <v>4.0310560736374033E-2</v>
      </c>
      <c r="K20" s="138"/>
      <c r="L20" s="137" t="s">
        <v>76</v>
      </c>
      <c r="M20" s="177"/>
    </row>
    <row r="21" spans="1:13" x14ac:dyDescent="0.35">
      <c r="A21" s="176">
        <v>20</v>
      </c>
      <c r="B21" s="137">
        <v>125</v>
      </c>
      <c r="C21" s="137">
        <v>7.5</v>
      </c>
      <c r="D21" s="137">
        <v>22</v>
      </c>
      <c r="E21" s="137"/>
      <c r="F21" s="138"/>
      <c r="G21" s="138"/>
      <c r="H21" s="138"/>
      <c r="I21" s="138"/>
      <c r="J21" s="241">
        <f t="shared" si="0"/>
        <v>4.2431135777547146E-2</v>
      </c>
      <c r="K21" s="138"/>
      <c r="L21" s="137" t="s">
        <v>73</v>
      </c>
      <c r="M21" s="177"/>
    </row>
    <row r="22" spans="1:13" x14ac:dyDescent="0.35">
      <c r="A22" s="176">
        <v>21</v>
      </c>
      <c r="B22" s="137">
        <v>112</v>
      </c>
      <c r="C22" s="137">
        <v>2</v>
      </c>
      <c r="D22" s="137">
        <v>5</v>
      </c>
      <c r="E22" s="137"/>
      <c r="F22" s="138"/>
      <c r="G22" s="138"/>
      <c r="H22" s="138"/>
      <c r="I22" s="138"/>
      <c r="J22" s="241">
        <f t="shared" si="0"/>
        <v>2.2776546738526001E-3</v>
      </c>
      <c r="K22" s="138"/>
      <c r="L22" s="137" t="s">
        <v>75</v>
      </c>
      <c r="M22" s="177"/>
    </row>
    <row r="23" spans="1:13" x14ac:dyDescent="0.35">
      <c r="A23" s="176">
        <v>22</v>
      </c>
      <c r="B23" s="137">
        <v>112</v>
      </c>
      <c r="C23" s="137">
        <v>2</v>
      </c>
      <c r="D23" s="137">
        <v>5</v>
      </c>
      <c r="E23" s="137"/>
      <c r="F23" s="138"/>
      <c r="G23" s="138"/>
      <c r="H23" s="138"/>
      <c r="I23" s="138"/>
      <c r="J23" s="241">
        <f t="shared" si="0"/>
        <v>2.2776546738526001E-3</v>
      </c>
      <c r="K23" s="138"/>
      <c r="L23" s="137" t="s">
        <v>75</v>
      </c>
      <c r="M23" s="177"/>
    </row>
    <row r="24" spans="1:13" x14ac:dyDescent="0.35">
      <c r="A24" s="176">
        <v>23</v>
      </c>
      <c r="B24" s="137">
        <v>125</v>
      </c>
      <c r="C24" s="137">
        <v>7</v>
      </c>
      <c r="D24" s="137">
        <v>21</v>
      </c>
      <c r="E24" s="137"/>
      <c r="F24" s="138"/>
      <c r="G24" s="138"/>
      <c r="H24" s="138"/>
      <c r="I24" s="138"/>
      <c r="J24" s="241">
        <f t="shared" si="0"/>
        <v>3.8484510006474966E-2</v>
      </c>
      <c r="K24" s="138"/>
      <c r="L24" s="137" t="s">
        <v>73</v>
      </c>
      <c r="M24" s="177"/>
    </row>
    <row r="25" spans="1:13" x14ac:dyDescent="0.35">
      <c r="A25" s="176">
        <v>24</v>
      </c>
      <c r="B25" s="137">
        <v>125</v>
      </c>
      <c r="C25" s="137">
        <v>8</v>
      </c>
      <c r="D25" s="137"/>
      <c r="E25" s="137">
        <v>16</v>
      </c>
      <c r="F25" s="138">
        <v>15</v>
      </c>
      <c r="G25" s="138"/>
      <c r="H25" s="138"/>
      <c r="I25" s="138"/>
      <c r="J25" s="241">
        <f t="shared" si="0"/>
        <v>4.2804199905160933E-2</v>
      </c>
      <c r="K25" s="138"/>
      <c r="L25" s="137" t="s">
        <v>73</v>
      </c>
      <c r="M25" s="177"/>
    </row>
    <row r="26" spans="1:13" x14ac:dyDescent="0.35">
      <c r="A26" s="176">
        <v>25</v>
      </c>
      <c r="B26" s="137">
        <v>125</v>
      </c>
      <c r="C26" s="137">
        <v>8.5</v>
      </c>
      <c r="D26" s="137">
        <v>17</v>
      </c>
      <c r="E26" s="137">
        <v>6</v>
      </c>
      <c r="F26" s="138"/>
      <c r="G26" s="138"/>
      <c r="H26" s="138"/>
      <c r="I26" s="138"/>
      <c r="J26" s="241">
        <f t="shared" si="0"/>
        <v>3.119994204096364E-2</v>
      </c>
      <c r="K26" s="138"/>
      <c r="L26" s="137" t="s">
        <v>76</v>
      </c>
      <c r="M26" s="177" t="s">
        <v>97</v>
      </c>
    </row>
    <row r="27" spans="1:13" x14ac:dyDescent="0.35">
      <c r="A27" s="176">
        <v>26</v>
      </c>
      <c r="B27" s="137">
        <v>125</v>
      </c>
      <c r="C27" s="137">
        <v>8.5</v>
      </c>
      <c r="D27" s="137">
        <v>15</v>
      </c>
      <c r="E27" s="137"/>
      <c r="F27" s="138"/>
      <c r="G27" s="138"/>
      <c r="H27" s="138"/>
      <c r="I27" s="138"/>
      <c r="J27" s="241">
        <f t="shared" si="0"/>
        <v>2.3345960406989153E-2</v>
      </c>
      <c r="K27" s="138"/>
      <c r="L27" s="137" t="s">
        <v>73</v>
      </c>
      <c r="M27" s="177" t="s">
        <v>102</v>
      </c>
    </row>
    <row r="28" spans="1:13" x14ac:dyDescent="0.35">
      <c r="A28" s="176">
        <v>27</v>
      </c>
      <c r="B28" s="137">
        <v>125</v>
      </c>
      <c r="C28" s="137">
        <v>6.5</v>
      </c>
      <c r="D28" s="137">
        <v>8</v>
      </c>
      <c r="E28" s="137"/>
      <c r="F28" s="138"/>
      <c r="G28" s="138"/>
      <c r="H28" s="138"/>
      <c r="I28" s="138"/>
      <c r="J28" s="241">
        <f t="shared" si="0"/>
        <v>8.3448554860978894E-3</v>
      </c>
      <c r="K28" s="138"/>
      <c r="L28" s="137" t="s">
        <v>74</v>
      </c>
      <c r="M28" s="177"/>
    </row>
    <row r="29" spans="1:13" x14ac:dyDescent="0.35">
      <c r="A29" s="176">
        <v>28</v>
      </c>
      <c r="B29" s="137">
        <v>125</v>
      </c>
      <c r="C29" s="137">
        <v>9</v>
      </c>
      <c r="D29" s="137">
        <v>21</v>
      </c>
      <c r="E29" s="137"/>
      <c r="F29" s="138"/>
      <c r="G29" s="138"/>
      <c r="H29" s="138"/>
      <c r="I29" s="138"/>
      <c r="J29" s="241">
        <f t="shared" si="0"/>
        <v>4.09977841293468E-2</v>
      </c>
      <c r="K29" s="138"/>
      <c r="L29" s="137" t="s">
        <v>76</v>
      </c>
      <c r="M29" s="177"/>
    </row>
    <row r="30" spans="1:13" x14ac:dyDescent="0.35">
      <c r="A30" s="176">
        <v>29</v>
      </c>
      <c r="B30" s="137">
        <v>125</v>
      </c>
      <c r="C30" s="137">
        <v>8</v>
      </c>
      <c r="D30" s="137">
        <v>16</v>
      </c>
      <c r="E30" s="137"/>
      <c r="F30" s="138"/>
      <c r="G30" s="138"/>
      <c r="H30" s="138"/>
      <c r="I30" s="138"/>
      <c r="J30" s="241">
        <f t="shared" si="0"/>
        <v>2.5132741228718343E-2</v>
      </c>
      <c r="K30" s="138"/>
      <c r="L30" s="137" t="s">
        <v>73</v>
      </c>
      <c r="M30" s="177"/>
    </row>
    <row r="31" spans="1:13" x14ac:dyDescent="0.35">
      <c r="A31" s="176">
        <v>30</v>
      </c>
      <c r="B31" s="137">
        <v>112</v>
      </c>
      <c r="C31" s="137">
        <v>2.5</v>
      </c>
      <c r="D31" s="137">
        <v>5</v>
      </c>
      <c r="E31" s="137"/>
      <c r="F31" s="138"/>
      <c r="G31" s="138"/>
      <c r="H31" s="138"/>
      <c r="I31" s="138"/>
      <c r="J31" s="241">
        <f t="shared" si="0"/>
        <v>2.4543692606170259E-3</v>
      </c>
      <c r="K31" s="138"/>
      <c r="L31" s="137" t="s">
        <v>75</v>
      </c>
      <c r="M31" s="177"/>
    </row>
    <row r="32" spans="1:13" x14ac:dyDescent="0.35">
      <c r="A32" s="176">
        <v>31</v>
      </c>
      <c r="B32" s="137">
        <v>125</v>
      </c>
      <c r="C32" s="137">
        <v>8.5</v>
      </c>
      <c r="D32" s="137"/>
      <c r="E32" s="137">
        <v>5</v>
      </c>
      <c r="F32" s="138">
        <v>8</v>
      </c>
      <c r="G32" s="138">
        <v>16</v>
      </c>
      <c r="H32" s="138"/>
      <c r="I32" s="138"/>
      <c r="J32" s="241">
        <f t="shared" si="0"/>
        <v>3.2770738367758533E-2</v>
      </c>
      <c r="K32" s="138"/>
      <c r="L32" s="137" t="s">
        <v>76</v>
      </c>
      <c r="M32" s="177"/>
    </row>
    <row r="33" spans="1:13" ht="15" thickBot="1" x14ac:dyDescent="0.4">
      <c r="A33" s="178">
        <v>32</v>
      </c>
      <c r="B33" s="179">
        <v>125</v>
      </c>
      <c r="C33" s="179">
        <v>9</v>
      </c>
      <c r="D33" s="179">
        <v>25</v>
      </c>
      <c r="E33" s="179"/>
      <c r="F33" s="191"/>
      <c r="G33" s="191"/>
      <c r="H33" s="191"/>
      <c r="I33" s="191"/>
      <c r="J33" s="205">
        <f t="shared" si="0"/>
        <v>5.544911033585985E-2</v>
      </c>
      <c r="K33" s="191"/>
      <c r="L33" s="179" t="s">
        <v>78</v>
      </c>
      <c r="M33" s="180"/>
    </row>
    <row r="34" spans="1:13" x14ac:dyDescent="0.35">
      <c r="A34" s="229">
        <f>SUBTOTAL(103,Tabla16[número de árboles])</f>
        <v>32</v>
      </c>
      <c r="B34" s="229" t="s">
        <v>146</v>
      </c>
      <c r="C34" s="264">
        <f>SUBTOTAL(101,Tabla16[altura])</f>
        <v>7.203125</v>
      </c>
      <c r="D34" s="207">
        <f>SUBTOTAL(101,Tabla16[diámetro])</f>
        <v>15.434782608695652</v>
      </c>
      <c r="E34" s="264">
        <f>SUBTOTAL(101,Tabla16[Hermanado1])</f>
        <v>11.545454545454545</v>
      </c>
      <c r="F34" s="331">
        <f>SUBTOTAL(101,Tabla16[Hermanado2])</f>
        <v>11.333333333333334</v>
      </c>
      <c r="G34" s="331">
        <f>SUBTOTAL(101,Tabla16[Hermanado3])</f>
        <v>16</v>
      </c>
      <c r="H34" s="331"/>
      <c r="I34" s="331"/>
      <c r="J34" s="331"/>
      <c r="K34" s="331"/>
      <c r="L34" s="208"/>
      <c r="M34" s="155">
        <f>SUBTOTAL(103,Tabla16[observaciones])</f>
        <v>7</v>
      </c>
    </row>
    <row r="35" spans="1:13" x14ac:dyDescent="0.35">
      <c r="A35" s="19" t="s">
        <v>53</v>
      </c>
    </row>
    <row r="36" spans="1:13" x14ac:dyDescent="0.35">
      <c r="A36" s="19"/>
    </row>
    <row r="37" spans="1:13" x14ac:dyDescent="0.35">
      <c r="A37" s="19" t="s">
        <v>54</v>
      </c>
    </row>
    <row r="38" spans="1:13" x14ac:dyDescent="0.35">
      <c r="A38" s="19"/>
    </row>
    <row r="40" spans="1:13" ht="15" thickBot="1" x14ac:dyDescent="0.4">
      <c r="A40" s="19" t="s">
        <v>64</v>
      </c>
    </row>
    <row r="41" spans="1:13" ht="15" thickBot="1" x14ac:dyDescent="0.4">
      <c r="A41" s="365" t="s">
        <v>196</v>
      </c>
      <c r="B41" s="366"/>
      <c r="C41" s="366"/>
      <c r="D41" s="366"/>
      <c r="E41" s="366"/>
      <c r="F41" s="366"/>
      <c r="G41" s="366"/>
      <c r="H41" s="366"/>
      <c r="I41" s="366"/>
      <c r="J41" s="367"/>
    </row>
    <row r="42" spans="1:13" ht="15" thickBot="1" x14ac:dyDescent="0.4">
      <c r="A42" s="19" t="s">
        <v>63</v>
      </c>
    </row>
    <row r="43" spans="1:13" ht="15" thickBot="1" x14ac:dyDescent="0.4">
      <c r="A43" s="365" t="s">
        <v>205</v>
      </c>
      <c r="B43" s="366"/>
      <c r="C43" s="366"/>
      <c r="D43" s="366"/>
      <c r="E43" s="366"/>
      <c r="F43" s="366"/>
      <c r="G43" s="366"/>
      <c r="H43" s="366"/>
      <c r="I43" s="366"/>
      <c r="J43" s="367"/>
    </row>
    <row r="44" spans="1:13" ht="15" thickBot="1" x14ac:dyDescent="0.4"/>
    <row r="45" spans="1:13" ht="15" thickBot="1" x14ac:dyDescent="0.4">
      <c r="A45" t="s">
        <v>128</v>
      </c>
      <c r="B45">
        <f>COUNT(Tabla16[[diámetro]:[Hermanado5]])</f>
        <v>44</v>
      </c>
      <c r="C45">
        <f>25*25</f>
        <v>625</v>
      </c>
      <c r="E45" s="55" t="s">
        <v>29</v>
      </c>
      <c r="F45" s="56"/>
      <c r="G45" s="29" t="s">
        <v>65</v>
      </c>
      <c r="H45" s="30"/>
      <c r="I45" s="28" t="s">
        <v>4</v>
      </c>
      <c r="J45" s="30"/>
    </row>
    <row r="46" spans="1:13" ht="15" thickBot="1" x14ac:dyDescent="0.4">
      <c r="B46">
        <f>B45*C46/C45</f>
        <v>704</v>
      </c>
      <c r="C46">
        <v>10000</v>
      </c>
      <c r="E46" s="52" t="s">
        <v>30</v>
      </c>
      <c r="F46" s="53" t="s">
        <v>31</v>
      </c>
      <c r="G46" s="43">
        <v>125</v>
      </c>
      <c r="H46" s="21" t="s">
        <v>23</v>
      </c>
      <c r="I46" s="13" t="s">
        <v>6</v>
      </c>
      <c r="J46" s="14" t="s">
        <v>58</v>
      </c>
    </row>
    <row r="47" spans="1:13" ht="21.5" thickBot="1" x14ac:dyDescent="0.55000000000000004">
      <c r="A47" s="27" t="s">
        <v>100</v>
      </c>
      <c r="B47" s="49" t="s">
        <v>28</v>
      </c>
      <c r="C47" s="10" t="s">
        <v>52</v>
      </c>
      <c r="D47" s="51" t="s">
        <v>147</v>
      </c>
      <c r="E47" s="48" t="s">
        <v>32</v>
      </c>
      <c r="F47" s="46" t="s">
        <v>33</v>
      </c>
      <c r="G47" s="44">
        <v>130</v>
      </c>
      <c r="H47" s="23" t="s">
        <v>25</v>
      </c>
      <c r="I47" s="15" t="s">
        <v>5</v>
      </c>
      <c r="J47" s="16" t="s">
        <v>59</v>
      </c>
    </row>
    <row r="48" spans="1:13" ht="15" thickBot="1" x14ac:dyDescent="0.4">
      <c r="A48" s="10"/>
      <c r="B48" s="12">
        <v>2</v>
      </c>
      <c r="C48" s="12">
        <v>1</v>
      </c>
      <c r="D48" s="10">
        <f>B46</f>
        <v>704</v>
      </c>
      <c r="E48" s="48" t="s">
        <v>34</v>
      </c>
      <c r="F48" s="46" t="s">
        <v>35</v>
      </c>
      <c r="G48" s="44">
        <v>46</v>
      </c>
      <c r="H48" s="23" t="s">
        <v>26</v>
      </c>
      <c r="I48" s="15" t="s">
        <v>13</v>
      </c>
      <c r="J48" s="16" t="s">
        <v>60</v>
      </c>
    </row>
    <row r="49" spans="5:10" x14ac:dyDescent="0.35">
      <c r="E49" s="45" t="s">
        <v>36</v>
      </c>
      <c r="F49" s="58" t="s">
        <v>37</v>
      </c>
      <c r="G49" s="44">
        <v>43</v>
      </c>
      <c r="H49" s="23" t="s">
        <v>27</v>
      </c>
      <c r="I49" s="15" t="s">
        <v>10</v>
      </c>
      <c r="J49" s="16" t="s">
        <v>61</v>
      </c>
    </row>
    <row r="50" spans="5:10" ht="15" thickBot="1" x14ac:dyDescent="0.4">
      <c r="E50" s="45" t="s">
        <v>16</v>
      </c>
      <c r="F50" s="46" t="s">
        <v>38</v>
      </c>
      <c r="G50" s="44">
        <v>23</v>
      </c>
      <c r="H50" s="23" t="s">
        <v>22</v>
      </c>
      <c r="I50" s="17" t="s">
        <v>12</v>
      </c>
      <c r="J50" s="18" t="s">
        <v>62</v>
      </c>
    </row>
    <row r="51" spans="5:10" x14ac:dyDescent="0.35">
      <c r="E51" s="45" t="s">
        <v>39</v>
      </c>
      <c r="F51" s="46" t="s">
        <v>40</v>
      </c>
      <c r="G51" s="44">
        <v>73</v>
      </c>
      <c r="H51" s="23" t="s">
        <v>24</v>
      </c>
    </row>
    <row r="52" spans="5:10" x14ac:dyDescent="0.35">
      <c r="E52" s="45" t="s">
        <v>41</v>
      </c>
      <c r="F52" s="46" t="s">
        <v>42</v>
      </c>
      <c r="G52" s="44">
        <v>87</v>
      </c>
      <c r="H52" s="23" t="s">
        <v>47</v>
      </c>
    </row>
    <row r="53" spans="5:10" x14ac:dyDescent="0.35">
      <c r="E53" s="45" t="s">
        <v>43</v>
      </c>
      <c r="F53" s="46" t="s">
        <v>44</v>
      </c>
      <c r="G53" s="44">
        <v>3</v>
      </c>
      <c r="H53" s="23" t="s">
        <v>48</v>
      </c>
    </row>
    <row r="54" spans="5:10" x14ac:dyDescent="0.35">
      <c r="E54" s="45" t="s">
        <v>45</v>
      </c>
      <c r="F54" s="47" t="s">
        <v>46</v>
      </c>
      <c r="G54" s="44">
        <v>82</v>
      </c>
      <c r="H54" s="23" t="s">
        <v>50</v>
      </c>
    </row>
    <row r="55" spans="5:10" x14ac:dyDescent="0.35">
      <c r="G55" s="22">
        <v>83</v>
      </c>
      <c r="H55" s="23" t="s">
        <v>49</v>
      </c>
    </row>
    <row r="56" spans="5:10" x14ac:dyDescent="0.35">
      <c r="G56" s="22">
        <v>42</v>
      </c>
      <c r="H56" s="23" t="s">
        <v>51</v>
      </c>
    </row>
    <row r="57" spans="5:10" x14ac:dyDescent="0.35">
      <c r="G57" s="22">
        <v>112</v>
      </c>
      <c r="H57" s="23" t="s">
        <v>66</v>
      </c>
    </row>
    <row r="58" spans="5:10" ht="15" thickBot="1" x14ac:dyDescent="0.4">
      <c r="G58" s="25">
        <v>113</v>
      </c>
      <c r="H58" s="26" t="s">
        <v>67</v>
      </c>
    </row>
    <row r="100" spans="1:10" x14ac:dyDescent="0.35">
      <c r="A100" t="s">
        <v>228</v>
      </c>
      <c r="B100" t="s">
        <v>206</v>
      </c>
      <c r="C100" t="s">
        <v>229</v>
      </c>
      <c r="D100" t="s">
        <v>142</v>
      </c>
      <c r="E100" t="s">
        <v>147</v>
      </c>
      <c r="F100" t="s">
        <v>225</v>
      </c>
      <c r="G100" t="s">
        <v>207</v>
      </c>
      <c r="H100" t="s">
        <v>231</v>
      </c>
      <c r="I100" t="s">
        <v>213</v>
      </c>
      <c r="J100" t="s">
        <v>215</v>
      </c>
    </row>
    <row r="101" spans="1:10" x14ac:dyDescent="0.35">
      <c r="A101" t="s">
        <v>212</v>
      </c>
      <c r="B101">
        <f>COUNTIF($D$2:$I$33,"&gt;=2,5")-COUNTIF($D$2:$I$33,"&gt;7,4")</f>
        <v>9</v>
      </c>
      <c r="C101">
        <v>5</v>
      </c>
      <c r="E101">
        <f>(B101*10000)/625</f>
        <v>144</v>
      </c>
      <c r="F101" s="95">
        <f>(PI()/4)*(C101/100)^2</f>
        <v>1.9634954084936209E-3</v>
      </c>
      <c r="G101" s="95">
        <f>E101*F101</f>
        <v>0.28274333882308139</v>
      </c>
    </row>
    <row r="102" spans="1:10" x14ac:dyDescent="0.35">
      <c r="A102" t="s">
        <v>211</v>
      </c>
      <c r="B102">
        <f>COUNTIF($D$2:$I$33,"&gt;=7,5")-COUNTIF($D$2:$I$33,"&gt;12,4")</f>
        <v>8</v>
      </c>
      <c r="C102">
        <v>10</v>
      </c>
      <c r="E102">
        <f t="shared" ref="E102:E108" si="1">(B102*10000)/625</f>
        <v>128</v>
      </c>
      <c r="F102" s="95">
        <f t="shared" ref="F102:F108" si="2">(PI()/4)*(C102/100)^2</f>
        <v>7.8539816339744835E-3</v>
      </c>
      <c r="G102" s="95">
        <f t="shared" ref="G102:G108" si="3">E102*F102</f>
        <v>1.0053096491487339</v>
      </c>
    </row>
    <row r="103" spans="1:10" x14ac:dyDescent="0.35">
      <c r="A103" t="s">
        <v>209</v>
      </c>
      <c r="B103">
        <f>COUNTIF($D$2:$I$33,"&gt;=12,5")-COUNTIF($D$2:$I$33,"&gt;17,4")</f>
        <v>16</v>
      </c>
      <c r="C103">
        <v>15</v>
      </c>
      <c r="E103">
        <f t="shared" si="1"/>
        <v>256</v>
      </c>
      <c r="F103" s="95">
        <f t="shared" si="2"/>
        <v>1.7671458676442587E-2</v>
      </c>
      <c r="G103" s="95">
        <f t="shared" si="3"/>
        <v>4.5238934211693023</v>
      </c>
    </row>
    <row r="104" spans="1:10" x14ac:dyDescent="0.35">
      <c r="A104" t="s">
        <v>208</v>
      </c>
      <c r="B104">
        <f>COUNTIF($D$2:$I$33,"&gt;=17,5")-COUNTIF($D$2:$I$33,"&gt;22,4")</f>
        <v>10</v>
      </c>
      <c r="C104">
        <v>20</v>
      </c>
      <c r="E104">
        <f t="shared" si="1"/>
        <v>160</v>
      </c>
      <c r="F104" s="95">
        <f t="shared" si="2"/>
        <v>3.1415926535897934E-2</v>
      </c>
      <c r="G104" s="95">
        <f t="shared" si="3"/>
        <v>5.026548245743669</v>
      </c>
    </row>
    <row r="105" spans="1:10" x14ac:dyDescent="0.35">
      <c r="A105" t="s">
        <v>210</v>
      </c>
      <c r="B105">
        <f>COUNTIF($D$2:$I$33,"&gt;=22,5")-COUNTIF($D$2:$I$33,"&gt;27,4")</f>
        <v>1</v>
      </c>
      <c r="C105">
        <v>25</v>
      </c>
      <c r="E105">
        <f t="shared" si="1"/>
        <v>16</v>
      </c>
      <c r="F105" s="95">
        <f t="shared" si="2"/>
        <v>4.9087385212340517E-2</v>
      </c>
      <c r="G105" s="95">
        <f t="shared" si="3"/>
        <v>0.78539816339744828</v>
      </c>
    </row>
    <row r="106" spans="1:10" x14ac:dyDescent="0.35">
      <c r="A106" t="s">
        <v>221</v>
      </c>
      <c r="B106">
        <f>COUNTIF($D$2:$I$33,"&gt;=27,5")-COUNTIF($D$2:$I$33,"&gt;32,4")</f>
        <v>0</v>
      </c>
      <c r="C106">
        <v>30</v>
      </c>
      <c r="E106">
        <f t="shared" si="1"/>
        <v>0</v>
      </c>
      <c r="F106" s="95">
        <f t="shared" si="2"/>
        <v>7.0685834705770348E-2</v>
      </c>
      <c r="G106" s="95">
        <f t="shared" si="3"/>
        <v>0</v>
      </c>
    </row>
    <row r="107" spans="1:10" x14ac:dyDescent="0.35">
      <c r="A107" t="s">
        <v>222</v>
      </c>
      <c r="B107">
        <f>COUNTIF($D$2:$I$33,"&gt;=32,5")-COUNTIF($D$2:$I$33,"&gt;37,4")</f>
        <v>0</v>
      </c>
      <c r="C107">
        <v>35</v>
      </c>
      <c r="E107">
        <f t="shared" si="1"/>
        <v>0</v>
      </c>
      <c r="F107" s="95">
        <f t="shared" si="2"/>
        <v>9.6211275016187398E-2</v>
      </c>
      <c r="G107" s="95">
        <f t="shared" si="3"/>
        <v>0</v>
      </c>
    </row>
    <row r="108" spans="1:10" x14ac:dyDescent="0.35">
      <c r="A108" t="s">
        <v>223</v>
      </c>
      <c r="B108">
        <f>COUNTIF($D$2:$I$33,"&gt;=37,5")-COUNTIF($D$2:$I$33,"&gt;42,4")</f>
        <v>0</v>
      </c>
      <c r="C108">
        <v>40</v>
      </c>
      <c r="E108">
        <f t="shared" si="1"/>
        <v>0</v>
      </c>
      <c r="F108" s="95">
        <f t="shared" si="2"/>
        <v>0.12566370614359174</v>
      </c>
      <c r="G108" s="95">
        <f t="shared" si="3"/>
        <v>0</v>
      </c>
    </row>
    <row r="109" spans="1:10" x14ac:dyDescent="0.35">
      <c r="A109" t="s">
        <v>146</v>
      </c>
      <c r="B109">
        <f>SUBTOTAL(109,Tabla37[NÚMERO DE PIES])</f>
        <v>44</v>
      </c>
      <c r="C109">
        <f>SUBTOTAL(103,Tabla37[CLASE DIAMETRICA])</f>
        <v>8</v>
      </c>
      <c r="E109">
        <f>SUBTOTAL(109,Tabla37[pies/ha])</f>
        <v>704</v>
      </c>
      <c r="F109" s="95">
        <f>SUBTOTAL(101,Tabla37[gn (m2)])</f>
        <v>5.0069132916587329E-2</v>
      </c>
      <c r="G109" s="95">
        <f>SUBTOTAL(109,Tabla37[G (m2/ha.)])</f>
        <v>11.623892818282236</v>
      </c>
      <c r="J109">
        <f>SUBTOTAL(103,Tabla37[AB (m2) final])</f>
        <v>0</v>
      </c>
    </row>
  </sheetData>
  <mergeCells count="2">
    <mergeCell ref="A43:J43"/>
    <mergeCell ref="A41:J41"/>
  </mergeCells>
  <pageMargins left="0.7" right="0.7" top="0.75" bottom="0.75" header="0.3" footer="0.3"/>
  <pageSetup paperSize="8" scale="67" orientation="portrait" r:id="rId1"/>
  <headerFooter>
    <oddHeader>&amp;C
Parcela &amp;"-,Negrita"&amp;KC00000C5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zoomScale="50" zoomScaleNormal="100" zoomScalePageLayoutView="50" workbookViewId="0">
      <selection activeCell="B67" sqref="B67"/>
    </sheetView>
  </sheetViews>
  <sheetFormatPr baseColWidth="10" defaultColWidth="8.7265625" defaultRowHeight="14.5" x14ac:dyDescent="0.35"/>
  <cols>
    <col min="1" max="1" width="20.1796875" customWidth="1"/>
    <col min="2" max="2" width="16.7265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5.1796875" customWidth="1"/>
    <col min="9" max="9" width="15.26953125" customWidth="1"/>
    <col min="10" max="10" width="10.363281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33" t="s">
        <v>195</v>
      </c>
      <c r="J1" s="33" t="s">
        <v>239</v>
      </c>
      <c r="K1" s="33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130</v>
      </c>
      <c r="C2" s="174">
        <v>5</v>
      </c>
      <c r="D2" s="174">
        <v>15</v>
      </c>
      <c r="E2" s="174"/>
      <c r="F2" s="190"/>
      <c r="G2" s="190"/>
      <c r="H2" s="190"/>
      <c r="I2" s="190"/>
      <c r="J2" s="338">
        <f t="shared" ref="J2:J33" si="0">PI()*(((C2)/2)/100)^2+PI()*(((D2)/2)/100)^2+PI()*(((E2)/2)/100)^2+PI()*(((F2)/2)/100)^2+PI()*(((G2)/2)/100)^2+PI()*(((H2)/2)/100)^2</f>
        <v>1.9634954084936207E-2</v>
      </c>
      <c r="K2" s="190"/>
      <c r="L2" s="174" t="s">
        <v>73</v>
      </c>
      <c r="M2" s="175"/>
    </row>
    <row r="3" spans="1:13" x14ac:dyDescent="0.35">
      <c r="A3" s="176">
        <v>2</v>
      </c>
      <c r="B3" s="137">
        <v>125</v>
      </c>
      <c r="C3" s="137">
        <v>6.5</v>
      </c>
      <c r="D3" s="137"/>
      <c r="E3" s="137">
        <v>14</v>
      </c>
      <c r="F3" s="138">
        <v>14</v>
      </c>
      <c r="G3" s="138"/>
      <c r="H3" s="138"/>
      <c r="I3" s="138"/>
      <c r="J3" s="146">
        <f t="shared" si="0"/>
        <v>3.4105915245534191E-2</v>
      </c>
      <c r="K3" s="138"/>
      <c r="L3" s="137" t="s">
        <v>76</v>
      </c>
      <c r="M3" s="177" t="s">
        <v>108</v>
      </c>
    </row>
    <row r="4" spans="1:13" x14ac:dyDescent="0.35">
      <c r="A4" s="176">
        <v>3</v>
      </c>
      <c r="B4" s="137">
        <v>130</v>
      </c>
      <c r="C4" s="137">
        <v>6</v>
      </c>
      <c r="D4" s="137">
        <v>21</v>
      </c>
      <c r="E4" s="137"/>
      <c r="F4" s="138"/>
      <c r="G4" s="138"/>
      <c r="H4" s="138"/>
      <c r="I4" s="138"/>
      <c r="J4" s="146">
        <f t="shared" si="0"/>
        <v>3.746349239405828E-2</v>
      </c>
      <c r="K4" s="138"/>
      <c r="L4" s="137" t="s">
        <v>78</v>
      </c>
      <c r="M4" s="177"/>
    </row>
    <row r="5" spans="1:13" x14ac:dyDescent="0.35">
      <c r="A5" s="176">
        <v>4</v>
      </c>
      <c r="B5" s="137">
        <v>46</v>
      </c>
      <c r="C5" s="137">
        <v>3</v>
      </c>
      <c r="D5" s="137">
        <v>10</v>
      </c>
      <c r="E5" s="137"/>
      <c r="F5" s="138"/>
      <c r="G5" s="138"/>
      <c r="H5" s="138"/>
      <c r="I5" s="138"/>
      <c r="J5" s="146">
        <f t="shared" si="0"/>
        <v>8.5608399810321867E-3</v>
      </c>
      <c r="K5" s="138"/>
      <c r="L5" s="137" t="s">
        <v>76</v>
      </c>
      <c r="M5" s="177"/>
    </row>
    <row r="6" spans="1:13" x14ac:dyDescent="0.35">
      <c r="A6" s="176">
        <v>5</v>
      </c>
      <c r="B6" s="137">
        <v>46</v>
      </c>
      <c r="C6" s="137">
        <v>3</v>
      </c>
      <c r="D6" s="137">
        <v>8</v>
      </c>
      <c r="E6" s="137"/>
      <c r="F6" s="138"/>
      <c r="G6" s="138"/>
      <c r="H6" s="138"/>
      <c r="I6" s="138"/>
      <c r="J6" s="146">
        <f t="shared" si="0"/>
        <v>5.7334065928013721E-3</v>
      </c>
      <c r="K6" s="138"/>
      <c r="L6" s="137" t="s">
        <v>75</v>
      </c>
      <c r="M6" s="177"/>
    </row>
    <row r="7" spans="1:13" x14ac:dyDescent="0.35">
      <c r="A7" s="176">
        <v>6</v>
      </c>
      <c r="B7" s="137">
        <v>125</v>
      </c>
      <c r="C7" s="137">
        <v>6.5</v>
      </c>
      <c r="D7" s="137"/>
      <c r="E7" s="137">
        <v>11</v>
      </c>
      <c r="F7" s="138">
        <v>16</v>
      </c>
      <c r="G7" s="138">
        <v>14</v>
      </c>
      <c r="H7" s="138"/>
      <c r="I7" s="138"/>
      <c r="J7" s="146">
        <f t="shared" si="0"/>
        <v>4.832162200302801E-2</v>
      </c>
      <c r="K7" s="138"/>
      <c r="L7" s="137" t="s">
        <v>78</v>
      </c>
      <c r="M7" s="177"/>
    </row>
    <row r="8" spans="1:13" x14ac:dyDescent="0.35">
      <c r="A8" s="176">
        <v>7</v>
      </c>
      <c r="B8" s="137">
        <v>125</v>
      </c>
      <c r="C8" s="137">
        <v>6</v>
      </c>
      <c r="D8" s="137">
        <v>17</v>
      </c>
      <c r="E8" s="137"/>
      <c r="F8" s="138"/>
      <c r="G8" s="138"/>
      <c r="H8" s="138"/>
      <c r="I8" s="138"/>
      <c r="J8" s="146">
        <f t="shared" si="0"/>
        <v>2.5525440310417074E-2</v>
      </c>
      <c r="K8" s="138"/>
      <c r="L8" s="137" t="s">
        <v>76</v>
      </c>
      <c r="M8" s="177"/>
    </row>
    <row r="9" spans="1:13" x14ac:dyDescent="0.35">
      <c r="A9" s="176">
        <v>8</v>
      </c>
      <c r="B9" s="137">
        <v>112</v>
      </c>
      <c r="C9" s="137">
        <v>1.5</v>
      </c>
      <c r="D9" s="137">
        <v>5</v>
      </c>
      <c r="E9" s="137"/>
      <c r="F9" s="138"/>
      <c r="G9" s="138"/>
      <c r="H9" s="138"/>
      <c r="I9" s="138"/>
      <c r="J9" s="146">
        <f t="shared" si="0"/>
        <v>2.1402099952580467E-3</v>
      </c>
      <c r="K9" s="138"/>
      <c r="L9" s="137" t="s">
        <v>74</v>
      </c>
      <c r="M9" s="177"/>
    </row>
    <row r="10" spans="1:13" x14ac:dyDescent="0.35">
      <c r="A10" s="176">
        <v>9</v>
      </c>
      <c r="B10" s="137">
        <v>112</v>
      </c>
      <c r="C10" s="137">
        <v>1.5</v>
      </c>
      <c r="D10" s="137">
        <v>5</v>
      </c>
      <c r="E10" s="137"/>
      <c r="F10" s="138"/>
      <c r="G10" s="138"/>
      <c r="H10" s="138"/>
      <c r="I10" s="138"/>
      <c r="J10" s="146">
        <f t="shared" si="0"/>
        <v>2.1402099952580467E-3</v>
      </c>
      <c r="K10" s="138"/>
      <c r="L10" s="137" t="s">
        <v>74</v>
      </c>
      <c r="M10" s="177"/>
    </row>
    <row r="11" spans="1:13" x14ac:dyDescent="0.35">
      <c r="A11" s="176">
        <v>10</v>
      </c>
      <c r="B11" s="137">
        <v>112</v>
      </c>
      <c r="C11" s="137">
        <v>2</v>
      </c>
      <c r="D11" s="137">
        <v>5</v>
      </c>
      <c r="E11" s="137"/>
      <c r="F11" s="138"/>
      <c r="G11" s="138"/>
      <c r="H11" s="138"/>
      <c r="I11" s="138"/>
      <c r="J11" s="146">
        <f t="shared" si="0"/>
        <v>2.2776546738526001E-3</v>
      </c>
      <c r="K11" s="138"/>
      <c r="L11" s="137" t="s">
        <v>74</v>
      </c>
      <c r="M11" s="177"/>
    </row>
    <row r="12" spans="1:13" x14ac:dyDescent="0.35">
      <c r="A12" s="176">
        <v>11</v>
      </c>
      <c r="B12" s="137">
        <v>46</v>
      </c>
      <c r="C12" s="137">
        <v>3</v>
      </c>
      <c r="D12" s="137">
        <v>5</v>
      </c>
      <c r="E12" s="137"/>
      <c r="F12" s="138"/>
      <c r="G12" s="138"/>
      <c r="H12" s="138"/>
      <c r="I12" s="138"/>
      <c r="J12" s="146">
        <f t="shared" si="0"/>
        <v>2.6703537555513241E-3</v>
      </c>
      <c r="K12" s="138"/>
      <c r="L12" s="137" t="s">
        <v>74</v>
      </c>
      <c r="M12" s="177"/>
    </row>
    <row r="13" spans="1:13" x14ac:dyDescent="0.35">
      <c r="A13" s="176">
        <v>12</v>
      </c>
      <c r="B13" s="137">
        <v>125</v>
      </c>
      <c r="C13" s="137">
        <v>6.5</v>
      </c>
      <c r="D13" s="137">
        <v>18</v>
      </c>
      <c r="E13" s="137"/>
      <c r="F13" s="138"/>
      <c r="G13" s="138"/>
      <c r="H13" s="138"/>
      <c r="I13" s="138"/>
      <c r="J13" s="146">
        <f t="shared" si="0"/>
        <v>2.8765207734431541E-2</v>
      </c>
      <c r="K13" s="138"/>
      <c r="L13" s="137" t="s">
        <v>76</v>
      </c>
      <c r="M13" s="177"/>
    </row>
    <row r="14" spans="1:13" x14ac:dyDescent="0.35">
      <c r="A14" s="176">
        <v>13</v>
      </c>
      <c r="B14" s="137">
        <v>112</v>
      </c>
      <c r="C14" s="137">
        <v>1.5</v>
      </c>
      <c r="D14" s="137">
        <v>5</v>
      </c>
      <c r="E14" s="137"/>
      <c r="F14" s="138"/>
      <c r="G14" s="138"/>
      <c r="H14" s="138"/>
      <c r="I14" s="138"/>
      <c r="J14" s="146">
        <f t="shared" si="0"/>
        <v>2.1402099952580467E-3</v>
      </c>
      <c r="K14" s="138"/>
      <c r="L14" s="137" t="s">
        <v>74</v>
      </c>
      <c r="M14" s="177"/>
    </row>
    <row r="15" spans="1:13" x14ac:dyDescent="0.35">
      <c r="A15" s="176">
        <v>14</v>
      </c>
      <c r="B15" s="137">
        <v>46</v>
      </c>
      <c r="C15" s="137">
        <v>2</v>
      </c>
      <c r="D15" s="137">
        <v>7</v>
      </c>
      <c r="E15" s="137"/>
      <c r="F15" s="138"/>
      <c r="G15" s="138"/>
      <c r="H15" s="138"/>
      <c r="I15" s="138"/>
      <c r="J15" s="146">
        <f t="shared" si="0"/>
        <v>4.1626102660064761E-3</v>
      </c>
      <c r="K15" s="138"/>
      <c r="L15" s="137" t="s">
        <v>74</v>
      </c>
      <c r="M15" s="177"/>
    </row>
    <row r="16" spans="1:13" x14ac:dyDescent="0.35">
      <c r="A16" s="176">
        <v>15</v>
      </c>
      <c r="B16" s="137">
        <v>46</v>
      </c>
      <c r="C16" s="137">
        <v>2</v>
      </c>
      <c r="D16" s="137">
        <v>5</v>
      </c>
      <c r="E16" s="137"/>
      <c r="F16" s="138"/>
      <c r="G16" s="138"/>
      <c r="H16" s="138"/>
      <c r="I16" s="138"/>
      <c r="J16" s="146">
        <f t="shared" si="0"/>
        <v>2.2776546738526001E-3</v>
      </c>
      <c r="K16" s="138"/>
      <c r="L16" s="137" t="s">
        <v>74</v>
      </c>
      <c r="M16" s="177"/>
    </row>
    <row r="17" spans="1:13" x14ac:dyDescent="0.35">
      <c r="A17" s="176">
        <v>16</v>
      </c>
      <c r="B17" s="137">
        <v>46</v>
      </c>
      <c r="C17" s="137">
        <v>3</v>
      </c>
      <c r="D17" s="137">
        <v>7</v>
      </c>
      <c r="E17" s="137"/>
      <c r="F17" s="138"/>
      <c r="G17" s="138"/>
      <c r="H17" s="138"/>
      <c r="I17" s="138"/>
      <c r="J17" s="146">
        <f t="shared" si="0"/>
        <v>4.5553093477052001E-3</v>
      </c>
      <c r="K17" s="138"/>
      <c r="L17" s="137" t="s">
        <v>74</v>
      </c>
      <c r="M17" s="177"/>
    </row>
    <row r="18" spans="1:13" x14ac:dyDescent="0.35">
      <c r="A18" s="176">
        <v>17</v>
      </c>
      <c r="B18" s="137">
        <v>125</v>
      </c>
      <c r="C18" s="137">
        <v>7</v>
      </c>
      <c r="D18" s="137">
        <v>20</v>
      </c>
      <c r="E18" s="137"/>
      <c r="F18" s="138"/>
      <c r="G18" s="138"/>
      <c r="H18" s="138"/>
      <c r="I18" s="138"/>
      <c r="J18" s="146">
        <f t="shared" si="0"/>
        <v>3.5264377536545433E-2</v>
      </c>
      <c r="K18" s="138"/>
      <c r="L18" s="137" t="s">
        <v>78</v>
      </c>
      <c r="M18" s="177"/>
    </row>
    <row r="19" spans="1:13" x14ac:dyDescent="0.35">
      <c r="A19" s="176">
        <v>18</v>
      </c>
      <c r="B19" s="137">
        <v>125</v>
      </c>
      <c r="C19" s="137">
        <v>5</v>
      </c>
      <c r="D19" s="137">
        <v>10</v>
      </c>
      <c r="E19" s="137"/>
      <c r="F19" s="138"/>
      <c r="G19" s="138"/>
      <c r="H19" s="138"/>
      <c r="I19" s="138"/>
      <c r="J19" s="146">
        <f t="shared" si="0"/>
        <v>9.8174770424681035E-3</v>
      </c>
      <c r="K19" s="138"/>
      <c r="L19" s="137" t="s">
        <v>73</v>
      </c>
      <c r="M19" s="177"/>
    </row>
    <row r="20" spans="1:13" x14ac:dyDescent="0.35">
      <c r="A20" s="176">
        <v>19</v>
      </c>
      <c r="B20" s="137">
        <v>125</v>
      </c>
      <c r="C20" s="137">
        <v>6</v>
      </c>
      <c r="D20" s="137">
        <v>16</v>
      </c>
      <c r="E20" s="137"/>
      <c r="F20" s="138"/>
      <c r="G20" s="138"/>
      <c r="H20" s="138"/>
      <c r="I20" s="138"/>
      <c r="J20" s="146">
        <f t="shared" si="0"/>
        <v>2.2933626371205489E-2</v>
      </c>
      <c r="K20" s="138"/>
      <c r="L20" s="137" t="s">
        <v>78</v>
      </c>
      <c r="M20" s="177"/>
    </row>
    <row r="21" spans="1:13" x14ac:dyDescent="0.35">
      <c r="A21" s="176">
        <v>20</v>
      </c>
      <c r="B21" s="137">
        <v>125</v>
      </c>
      <c r="C21" s="137">
        <v>6</v>
      </c>
      <c r="D21" s="137">
        <v>22</v>
      </c>
      <c r="E21" s="137"/>
      <c r="F21" s="138"/>
      <c r="G21" s="138"/>
      <c r="H21" s="138"/>
      <c r="I21" s="138"/>
      <c r="J21" s="146">
        <f t="shared" si="0"/>
        <v>4.084070449666731E-2</v>
      </c>
      <c r="K21" s="138"/>
      <c r="L21" s="137" t="s">
        <v>78</v>
      </c>
      <c r="M21" s="177"/>
    </row>
    <row r="22" spans="1:13" x14ac:dyDescent="0.35">
      <c r="A22" s="176">
        <v>21</v>
      </c>
      <c r="B22" s="137">
        <v>125</v>
      </c>
      <c r="C22" s="137">
        <v>6</v>
      </c>
      <c r="D22" s="137">
        <v>16</v>
      </c>
      <c r="E22" s="137"/>
      <c r="F22" s="138"/>
      <c r="G22" s="138"/>
      <c r="H22" s="138"/>
      <c r="I22" s="138"/>
      <c r="J22" s="146">
        <f t="shared" si="0"/>
        <v>2.2933626371205489E-2</v>
      </c>
      <c r="K22" s="138"/>
      <c r="L22" s="137" t="s">
        <v>73</v>
      </c>
      <c r="M22" s="177"/>
    </row>
    <row r="23" spans="1:13" x14ac:dyDescent="0.35">
      <c r="A23" s="176">
        <v>22</v>
      </c>
      <c r="B23" s="137">
        <v>130</v>
      </c>
      <c r="C23" s="137">
        <v>6</v>
      </c>
      <c r="D23" s="137">
        <v>22</v>
      </c>
      <c r="E23" s="137"/>
      <c r="F23" s="138"/>
      <c r="G23" s="138"/>
      <c r="H23" s="138"/>
      <c r="I23" s="138"/>
      <c r="J23" s="146">
        <f t="shared" si="0"/>
        <v>4.084070449666731E-2</v>
      </c>
      <c r="K23" s="138"/>
      <c r="L23" s="137" t="s">
        <v>76</v>
      </c>
      <c r="M23" s="177"/>
    </row>
    <row r="24" spans="1:13" x14ac:dyDescent="0.35">
      <c r="A24" s="176">
        <v>23</v>
      </c>
      <c r="B24" s="137">
        <v>46</v>
      </c>
      <c r="C24" s="137">
        <v>4</v>
      </c>
      <c r="D24" s="137">
        <v>6</v>
      </c>
      <c r="E24" s="137"/>
      <c r="F24" s="138"/>
      <c r="G24" s="138"/>
      <c r="H24" s="138"/>
      <c r="I24" s="138"/>
      <c r="J24" s="146">
        <f t="shared" si="0"/>
        <v>4.0840704496667313E-3</v>
      </c>
      <c r="K24" s="138"/>
      <c r="L24" s="137" t="s">
        <v>74</v>
      </c>
      <c r="M24" s="177"/>
    </row>
    <row r="25" spans="1:13" x14ac:dyDescent="0.35">
      <c r="A25" s="176">
        <v>24</v>
      </c>
      <c r="B25" s="137">
        <v>125</v>
      </c>
      <c r="C25" s="137">
        <v>6.5</v>
      </c>
      <c r="D25" s="137">
        <v>16</v>
      </c>
      <c r="E25" s="137"/>
      <c r="F25" s="138"/>
      <c r="G25" s="138"/>
      <c r="H25" s="138"/>
      <c r="I25" s="138"/>
      <c r="J25" s="146">
        <f t="shared" si="0"/>
        <v>2.3424500223328894E-2</v>
      </c>
      <c r="K25" s="138"/>
      <c r="L25" s="137" t="s">
        <v>76</v>
      </c>
      <c r="M25" s="177"/>
    </row>
    <row r="26" spans="1:13" x14ac:dyDescent="0.35">
      <c r="A26" s="176">
        <v>25</v>
      </c>
      <c r="B26" s="137">
        <v>46</v>
      </c>
      <c r="C26" s="137">
        <v>3</v>
      </c>
      <c r="D26" s="137">
        <v>5</v>
      </c>
      <c r="E26" s="137"/>
      <c r="F26" s="138"/>
      <c r="G26" s="138"/>
      <c r="H26" s="138"/>
      <c r="I26" s="138"/>
      <c r="J26" s="146">
        <f t="shared" si="0"/>
        <v>2.6703537555513241E-3</v>
      </c>
      <c r="K26" s="138"/>
      <c r="L26" s="137" t="s">
        <v>73</v>
      </c>
      <c r="M26" s="177"/>
    </row>
    <row r="27" spans="1:13" x14ac:dyDescent="0.35">
      <c r="A27" s="176">
        <v>26</v>
      </c>
      <c r="B27" s="137">
        <v>46</v>
      </c>
      <c r="C27" s="137">
        <v>2</v>
      </c>
      <c r="D27" s="137">
        <v>5</v>
      </c>
      <c r="E27" s="137"/>
      <c r="F27" s="138"/>
      <c r="G27" s="138"/>
      <c r="H27" s="138"/>
      <c r="I27" s="138"/>
      <c r="J27" s="146">
        <f t="shared" si="0"/>
        <v>2.2776546738526001E-3</v>
      </c>
      <c r="K27" s="138"/>
      <c r="L27" s="137" t="s">
        <v>73</v>
      </c>
      <c r="M27" s="177"/>
    </row>
    <row r="28" spans="1:13" x14ac:dyDescent="0.35">
      <c r="A28" s="176">
        <v>27</v>
      </c>
      <c r="B28" s="137">
        <v>46</v>
      </c>
      <c r="C28" s="137">
        <v>2</v>
      </c>
      <c r="D28" s="137">
        <v>5</v>
      </c>
      <c r="E28" s="137"/>
      <c r="F28" s="138"/>
      <c r="G28" s="138"/>
      <c r="H28" s="138"/>
      <c r="I28" s="138"/>
      <c r="J28" s="146">
        <f t="shared" si="0"/>
        <v>2.2776546738526001E-3</v>
      </c>
      <c r="K28" s="138"/>
      <c r="L28" s="137" t="s">
        <v>73</v>
      </c>
      <c r="M28" s="177"/>
    </row>
    <row r="29" spans="1:13" x14ac:dyDescent="0.35">
      <c r="A29" s="176">
        <v>28</v>
      </c>
      <c r="B29" s="137">
        <v>46</v>
      </c>
      <c r="C29" s="137">
        <v>2</v>
      </c>
      <c r="D29" s="137">
        <v>5</v>
      </c>
      <c r="E29" s="137"/>
      <c r="F29" s="138"/>
      <c r="G29" s="138"/>
      <c r="H29" s="138"/>
      <c r="I29" s="138"/>
      <c r="J29" s="146">
        <f t="shared" si="0"/>
        <v>2.2776546738526001E-3</v>
      </c>
      <c r="K29" s="138"/>
      <c r="L29" s="137" t="s">
        <v>73</v>
      </c>
      <c r="M29" s="177"/>
    </row>
    <row r="30" spans="1:13" x14ac:dyDescent="0.35">
      <c r="A30" s="176">
        <v>29</v>
      </c>
      <c r="B30" s="137">
        <v>125</v>
      </c>
      <c r="C30" s="137">
        <v>5</v>
      </c>
      <c r="D30" s="137">
        <v>12</v>
      </c>
      <c r="E30" s="137"/>
      <c r="F30" s="138"/>
      <c r="G30" s="138"/>
      <c r="H30" s="138"/>
      <c r="I30" s="138"/>
      <c r="J30" s="146">
        <f t="shared" si="0"/>
        <v>1.3273228961416875E-2</v>
      </c>
      <c r="K30" s="138"/>
      <c r="L30" s="137" t="s">
        <v>76</v>
      </c>
      <c r="M30" s="177"/>
    </row>
    <row r="31" spans="1:13" x14ac:dyDescent="0.35">
      <c r="A31" s="176">
        <v>30</v>
      </c>
      <c r="B31" s="137">
        <v>125</v>
      </c>
      <c r="C31" s="137">
        <v>7</v>
      </c>
      <c r="D31" s="137">
        <v>21</v>
      </c>
      <c r="E31" s="137"/>
      <c r="F31" s="138"/>
      <c r="G31" s="138"/>
      <c r="H31" s="138"/>
      <c r="I31" s="138"/>
      <c r="J31" s="146">
        <f t="shared" si="0"/>
        <v>3.8484510006474966E-2</v>
      </c>
      <c r="K31" s="138"/>
      <c r="L31" s="137" t="s">
        <v>76</v>
      </c>
      <c r="M31" s="177"/>
    </row>
    <row r="32" spans="1:13" x14ac:dyDescent="0.35">
      <c r="A32" s="176">
        <v>31</v>
      </c>
      <c r="B32" s="137">
        <v>125</v>
      </c>
      <c r="C32" s="137">
        <v>6</v>
      </c>
      <c r="D32" s="137">
        <v>14</v>
      </c>
      <c r="E32" s="137"/>
      <c r="F32" s="138"/>
      <c r="G32" s="138"/>
      <c r="H32" s="138"/>
      <c r="I32" s="138"/>
      <c r="J32" s="146">
        <f t="shared" si="0"/>
        <v>1.8221237390820801E-2</v>
      </c>
      <c r="K32" s="138"/>
      <c r="L32" s="137" t="s">
        <v>78</v>
      </c>
      <c r="M32" s="177"/>
    </row>
    <row r="33" spans="1:13" x14ac:dyDescent="0.35">
      <c r="A33" s="176">
        <v>32</v>
      </c>
      <c r="B33" s="137">
        <v>125</v>
      </c>
      <c r="C33" s="137">
        <v>7.5</v>
      </c>
      <c r="D33" s="137">
        <v>18</v>
      </c>
      <c r="E33" s="137"/>
      <c r="F33" s="138"/>
      <c r="G33" s="138"/>
      <c r="H33" s="138"/>
      <c r="I33" s="138"/>
      <c r="J33" s="146">
        <f t="shared" si="0"/>
        <v>2.9864765163187968E-2</v>
      </c>
      <c r="K33" s="138"/>
      <c r="L33" s="137" t="s">
        <v>78</v>
      </c>
      <c r="M33" s="177"/>
    </row>
    <row r="34" spans="1:13" x14ac:dyDescent="0.35">
      <c r="A34" s="176">
        <v>33</v>
      </c>
      <c r="B34" s="137">
        <v>46</v>
      </c>
      <c r="C34" s="137">
        <v>4</v>
      </c>
      <c r="D34" s="137">
        <v>9</v>
      </c>
      <c r="E34" s="137"/>
      <c r="F34" s="138"/>
      <c r="G34" s="138"/>
      <c r="H34" s="138"/>
      <c r="I34" s="138"/>
      <c r="J34" s="146">
        <f t="shared" ref="J34:J55" si="1">PI()*(((C34)/2)/100)^2+PI()*(((D34)/2)/100)^2+PI()*(((E34)/2)/100)^2+PI()*(((F34)/2)/100)^2+PI()*(((G34)/2)/100)^2+PI()*(((H34)/2)/100)^2</f>
        <v>7.6183621849552473E-3</v>
      </c>
      <c r="K34" s="138"/>
      <c r="L34" s="137" t="s">
        <v>76</v>
      </c>
      <c r="M34" s="177"/>
    </row>
    <row r="35" spans="1:13" x14ac:dyDescent="0.35">
      <c r="A35" s="176">
        <v>34</v>
      </c>
      <c r="B35" s="137">
        <v>46</v>
      </c>
      <c r="C35" s="137">
        <v>3</v>
      </c>
      <c r="D35" s="137">
        <v>5</v>
      </c>
      <c r="E35" s="137"/>
      <c r="F35" s="138"/>
      <c r="G35" s="138"/>
      <c r="H35" s="138"/>
      <c r="I35" s="138"/>
      <c r="J35" s="146">
        <f t="shared" si="1"/>
        <v>2.6703537555513241E-3</v>
      </c>
      <c r="K35" s="138"/>
      <c r="L35" s="137" t="s">
        <v>78</v>
      </c>
      <c r="M35" s="177" t="s">
        <v>123</v>
      </c>
    </row>
    <row r="36" spans="1:13" x14ac:dyDescent="0.35">
      <c r="A36" s="176">
        <v>35</v>
      </c>
      <c r="B36" s="137">
        <v>130</v>
      </c>
      <c r="C36" s="137">
        <v>5.5</v>
      </c>
      <c r="D36" s="137">
        <v>13</v>
      </c>
      <c r="E36" s="137"/>
      <c r="F36" s="138"/>
      <c r="G36" s="138"/>
      <c r="H36" s="138"/>
      <c r="I36" s="138"/>
      <c r="J36" s="146">
        <f t="shared" si="1"/>
        <v>1.5649058405694159E-2</v>
      </c>
      <c r="K36" s="138"/>
      <c r="L36" s="137" t="s">
        <v>73</v>
      </c>
      <c r="M36" s="177"/>
    </row>
    <row r="37" spans="1:13" x14ac:dyDescent="0.35">
      <c r="A37" s="176">
        <v>36</v>
      </c>
      <c r="B37" s="137">
        <v>125</v>
      </c>
      <c r="C37" s="137">
        <v>4</v>
      </c>
      <c r="D37" s="137">
        <v>15</v>
      </c>
      <c r="E37" s="137"/>
      <c r="F37" s="138"/>
      <c r="G37" s="138"/>
      <c r="H37" s="138"/>
      <c r="I37" s="138"/>
      <c r="J37" s="146">
        <f t="shared" si="1"/>
        <v>1.8928095737878504E-2</v>
      </c>
      <c r="K37" s="138"/>
      <c r="L37" s="137" t="s">
        <v>73</v>
      </c>
      <c r="M37" s="177"/>
    </row>
    <row r="38" spans="1:13" x14ac:dyDescent="0.35">
      <c r="A38" s="176">
        <v>37</v>
      </c>
      <c r="B38" s="137">
        <v>125</v>
      </c>
      <c r="C38" s="137">
        <v>7.5</v>
      </c>
      <c r="D38" s="137">
        <v>16</v>
      </c>
      <c r="E38" s="137"/>
      <c r="F38" s="138"/>
      <c r="G38" s="138"/>
      <c r="H38" s="138"/>
      <c r="I38" s="138"/>
      <c r="J38" s="146">
        <f t="shared" si="1"/>
        <v>2.4524057652085322E-2</v>
      </c>
      <c r="K38" s="138"/>
      <c r="L38" s="137" t="s">
        <v>13</v>
      </c>
      <c r="M38" s="177"/>
    </row>
    <row r="39" spans="1:13" x14ac:dyDescent="0.35">
      <c r="A39" s="176">
        <v>38</v>
      </c>
      <c r="B39" s="137">
        <v>112</v>
      </c>
      <c r="C39" s="137">
        <v>2</v>
      </c>
      <c r="D39" s="137">
        <v>7</v>
      </c>
      <c r="E39" s="137"/>
      <c r="F39" s="138"/>
      <c r="G39" s="138"/>
      <c r="H39" s="138"/>
      <c r="I39" s="138"/>
      <c r="J39" s="146">
        <f t="shared" si="1"/>
        <v>4.1626102660064761E-3</v>
      </c>
      <c r="K39" s="138"/>
      <c r="L39" s="137" t="s">
        <v>75</v>
      </c>
      <c r="M39" s="177"/>
    </row>
    <row r="40" spans="1:13" x14ac:dyDescent="0.35">
      <c r="A40" s="176">
        <v>39</v>
      </c>
      <c r="B40" s="137">
        <v>46</v>
      </c>
      <c r="C40" s="137">
        <v>3</v>
      </c>
      <c r="D40" s="137">
        <v>5</v>
      </c>
      <c r="E40" s="137"/>
      <c r="F40" s="138"/>
      <c r="G40" s="138"/>
      <c r="H40" s="138"/>
      <c r="I40" s="138"/>
      <c r="J40" s="146">
        <f t="shared" si="1"/>
        <v>2.6703537555513241E-3</v>
      </c>
      <c r="K40" s="138"/>
      <c r="L40" s="137" t="s">
        <v>74</v>
      </c>
      <c r="M40" s="177"/>
    </row>
    <row r="41" spans="1:13" x14ac:dyDescent="0.35">
      <c r="A41" s="176">
        <v>40</v>
      </c>
      <c r="B41" s="137">
        <v>112</v>
      </c>
      <c r="C41" s="137">
        <v>1.5</v>
      </c>
      <c r="D41" s="137">
        <v>5</v>
      </c>
      <c r="E41" s="137"/>
      <c r="F41" s="138"/>
      <c r="G41" s="138"/>
      <c r="H41" s="138"/>
      <c r="I41" s="138"/>
      <c r="J41" s="146">
        <f t="shared" si="1"/>
        <v>2.1402099952580467E-3</v>
      </c>
      <c r="K41" s="138"/>
      <c r="L41" s="137" t="s">
        <v>10</v>
      </c>
      <c r="M41" s="177"/>
    </row>
    <row r="42" spans="1:13" x14ac:dyDescent="0.35">
      <c r="A42" s="176">
        <v>41</v>
      </c>
      <c r="B42" s="137">
        <v>46</v>
      </c>
      <c r="C42" s="137">
        <v>3</v>
      </c>
      <c r="D42" s="137">
        <v>10</v>
      </c>
      <c r="E42" s="137"/>
      <c r="F42" s="138"/>
      <c r="G42" s="138"/>
      <c r="H42" s="138"/>
      <c r="I42" s="138"/>
      <c r="J42" s="146">
        <f t="shared" si="1"/>
        <v>8.5608399810321867E-3</v>
      </c>
      <c r="K42" s="138"/>
      <c r="L42" s="137" t="s">
        <v>76</v>
      </c>
      <c r="M42" s="177"/>
    </row>
    <row r="43" spans="1:13" x14ac:dyDescent="0.35">
      <c r="A43" s="176">
        <v>42</v>
      </c>
      <c r="B43" s="137">
        <v>125</v>
      </c>
      <c r="C43" s="137">
        <v>4</v>
      </c>
      <c r="D43" s="137">
        <v>10</v>
      </c>
      <c r="E43" s="137"/>
      <c r="F43" s="138"/>
      <c r="G43" s="138"/>
      <c r="H43" s="138"/>
      <c r="I43" s="138"/>
      <c r="J43" s="146">
        <f t="shared" si="1"/>
        <v>9.1106186954104003E-3</v>
      </c>
      <c r="K43" s="138"/>
      <c r="L43" s="137" t="s">
        <v>6</v>
      </c>
      <c r="M43" s="177"/>
    </row>
    <row r="44" spans="1:13" x14ac:dyDescent="0.35">
      <c r="A44" s="176">
        <v>43</v>
      </c>
      <c r="B44" s="137">
        <v>46</v>
      </c>
      <c r="C44" s="137">
        <v>3</v>
      </c>
      <c r="D44" s="137">
        <v>15</v>
      </c>
      <c r="E44" s="137"/>
      <c r="F44" s="138"/>
      <c r="G44" s="138"/>
      <c r="H44" s="138"/>
      <c r="I44" s="138"/>
      <c r="J44" s="146">
        <f t="shared" si="1"/>
        <v>1.837831702350029E-2</v>
      </c>
      <c r="K44" s="138"/>
      <c r="L44" s="137" t="s">
        <v>73</v>
      </c>
      <c r="M44" s="177"/>
    </row>
    <row r="45" spans="1:13" x14ac:dyDescent="0.35">
      <c r="A45" s="176">
        <v>44</v>
      </c>
      <c r="B45" s="137">
        <v>125</v>
      </c>
      <c r="C45" s="137">
        <v>4</v>
      </c>
      <c r="D45" s="137">
        <v>10</v>
      </c>
      <c r="E45" s="137"/>
      <c r="F45" s="138"/>
      <c r="G45" s="138"/>
      <c r="H45" s="138"/>
      <c r="I45" s="138"/>
      <c r="J45" s="146">
        <f t="shared" si="1"/>
        <v>9.1106186954104003E-3</v>
      </c>
      <c r="K45" s="138"/>
      <c r="L45" s="137" t="s">
        <v>82</v>
      </c>
      <c r="M45" s="177" t="s">
        <v>84</v>
      </c>
    </row>
    <row r="46" spans="1:13" x14ac:dyDescent="0.35">
      <c r="A46" s="176">
        <v>45</v>
      </c>
      <c r="B46" s="137">
        <v>46</v>
      </c>
      <c r="C46" s="137">
        <v>3</v>
      </c>
      <c r="D46" s="137">
        <v>5</v>
      </c>
      <c r="E46" s="137"/>
      <c r="F46" s="138"/>
      <c r="G46" s="138"/>
      <c r="H46" s="138"/>
      <c r="I46" s="138"/>
      <c r="J46" s="146">
        <f t="shared" si="1"/>
        <v>2.6703537555513241E-3</v>
      </c>
      <c r="K46" s="138"/>
      <c r="L46" s="137" t="s">
        <v>74</v>
      </c>
      <c r="M46" s="177" t="s">
        <v>124</v>
      </c>
    </row>
    <row r="47" spans="1:13" x14ac:dyDescent="0.35">
      <c r="A47" s="176">
        <v>46</v>
      </c>
      <c r="B47" s="137">
        <v>125</v>
      </c>
      <c r="C47" s="137">
        <v>6</v>
      </c>
      <c r="D47" s="137">
        <v>19</v>
      </c>
      <c r="E47" s="137"/>
      <c r="F47" s="138"/>
      <c r="G47" s="138"/>
      <c r="H47" s="138"/>
      <c r="I47" s="138"/>
      <c r="J47" s="146">
        <f t="shared" si="1"/>
        <v>3.1180307086878696E-2</v>
      </c>
      <c r="K47" s="138"/>
      <c r="L47" s="137" t="s">
        <v>76</v>
      </c>
      <c r="M47" s="177"/>
    </row>
    <row r="48" spans="1:13" x14ac:dyDescent="0.35">
      <c r="A48" s="176">
        <v>47</v>
      </c>
      <c r="B48" s="137">
        <v>125</v>
      </c>
      <c r="C48" s="137">
        <v>5</v>
      </c>
      <c r="D48" s="137">
        <v>13</v>
      </c>
      <c r="E48" s="137"/>
      <c r="F48" s="138"/>
      <c r="G48" s="138"/>
      <c r="H48" s="138"/>
      <c r="I48" s="138"/>
      <c r="J48" s="146">
        <f t="shared" si="1"/>
        <v>1.5236724369910498E-2</v>
      </c>
      <c r="K48" s="138"/>
      <c r="L48" s="137" t="s">
        <v>76</v>
      </c>
      <c r="M48" s="177"/>
    </row>
    <row r="49" spans="1:13" x14ac:dyDescent="0.35">
      <c r="A49" s="176">
        <v>48</v>
      </c>
      <c r="B49" s="137">
        <v>125</v>
      </c>
      <c r="C49" s="137">
        <v>5</v>
      </c>
      <c r="D49" s="137">
        <v>13</v>
      </c>
      <c r="E49" s="137"/>
      <c r="F49" s="138"/>
      <c r="G49" s="138"/>
      <c r="H49" s="138"/>
      <c r="I49" s="138"/>
      <c r="J49" s="146">
        <f t="shared" si="1"/>
        <v>1.5236724369910498E-2</v>
      </c>
      <c r="K49" s="138"/>
      <c r="L49" s="137" t="s">
        <v>76</v>
      </c>
      <c r="M49" s="177"/>
    </row>
    <row r="50" spans="1:13" x14ac:dyDescent="0.35">
      <c r="A50" s="176">
        <v>49</v>
      </c>
      <c r="B50" s="137">
        <v>125</v>
      </c>
      <c r="C50" s="137">
        <v>6</v>
      </c>
      <c r="D50" s="137">
        <v>15</v>
      </c>
      <c r="E50" s="137"/>
      <c r="F50" s="138"/>
      <c r="G50" s="138"/>
      <c r="H50" s="138"/>
      <c r="I50" s="138"/>
      <c r="J50" s="146">
        <f t="shared" si="1"/>
        <v>2.04988920646734E-2</v>
      </c>
      <c r="K50" s="138"/>
      <c r="L50" s="137" t="s">
        <v>76</v>
      </c>
      <c r="M50" s="177"/>
    </row>
    <row r="51" spans="1:13" x14ac:dyDescent="0.35">
      <c r="A51" s="176">
        <v>50</v>
      </c>
      <c r="B51" s="137">
        <v>130</v>
      </c>
      <c r="C51" s="137">
        <v>4</v>
      </c>
      <c r="D51" s="137">
        <v>13</v>
      </c>
      <c r="E51" s="138"/>
      <c r="F51" s="138"/>
      <c r="G51" s="138"/>
      <c r="H51" s="138"/>
      <c r="I51" s="138"/>
      <c r="J51" s="146">
        <f t="shared" si="1"/>
        <v>1.4529866022852795E-2</v>
      </c>
      <c r="K51" s="138"/>
      <c r="L51" s="137" t="s">
        <v>73</v>
      </c>
      <c r="M51" s="177"/>
    </row>
    <row r="52" spans="1:13" x14ac:dyDescent="0.35">
      <c r="A52" s="176">
        <v>51</v>
      </c>
      <c r="B52" s="137">
        <v>125</v>
      </c>
      <c r="C52" s="137">
        <v>6</v>
      </c>
      <c r="D52" s="137">
        <v>16</v>
      </c>
      <c r="E52" s="137"/>
      <c r="F52" s="137"/>
      <c r="G52" s="137"/>
      <c r="H52" s="137"/>
      <c r="I52" s="137"/>
      <c r="J52" s="146">
        <f t="shared" si="1"/>
        <v>2.2933626371205489E-2</v>
      </c>
      <c r="K52" s="137"/>
      <c r="L52" s="137" t="s">
        <v>78</v>
      </c>
      <c r="M52" s="177"/>
    </row>
    <row r="53" spans="1:13" x14ac:dyDescent="0.35">
      <c r="A53" s="176">
        <v>52</v>
      </c>
      <c r="B53" s="137">
        <v>125</v>
      </c>
      <c r="C53" s="137">
        <v>6</v>
      </c>
      <c r="D53" s="137">
        <v>18</v>
      </c>
      <c r="E53" s="137"/>
      <c r="F53" s="137"/>
      <c r="G53" s="137"/>
      <c r="H53" s="137"/>
      <c r="I53" s="137"/>
      <c r="J53" s="146">
        <f t="shared" si="1"/>
        <v>2.8274333882308135E-2</v>
      </c>
      <c r="K53" s="137"/>
      <c r="L53" s="137" t="s">
        <v>78</v>
      </c>
      <c r="M53" s="177"/>
    </row>
    <row r="54" spans="1:13" x14ac:dyDescent="0.35">
      <c r="A54" s="176">
        <v>53</v>
      </c>
      <c r="B54" s="137">
        <v>125</v>
      </c>
      <c r="C54" s="137">
        <v>6</v>
      </c>
      <c r="D54" s="137"/>
      <c r="E54" s="137">
        <v>16</v>
      </c>
      <c r="F54" s="137">
        <v>5</v>
      </c>
      <c r="G54" s="137"/>
      <c r="H54" s="137"/>
      <c r="I54" s="137"/>
      <c r="J54" s="146">
        <f t="shared" si="1"/>
        <v>2.4897121779699109E-2</v>
      </c>
      <c r="K54" s="137"/>
      <c r="L54" s="137" t="s">
        <v>76</v>
      </c>
      <c r="M54" s="177"/>
    </row>
    <row r="55" spans="1:13" ht="15" thickBot="1" x14ac:dyDescent="0.4">
      <c r="A55" s="178">
        <v>54</v>
      </c>
      <c r="B55" s="179">
        <v>125</v>
      </c>
      <c r="C55" s="179">
        <v>6.5</v>
      </c>
      <c r="D55" s="179"/>
      <c r="E55" s="179">
        <v>16</v>
      </c>
      <c r="F55" s="179">
        <v>8</v>
      </c>
      <c r="G55" s="179"/>
      <c r="H55" s="179"/>
      <c r="I55" s="179"/>
      <c r="J55" s="204">
        <f t="shared" si="1"/>
        <v>2.8451048469072565E-2</v>
      </c>
      <c r="K55" s="179"/>
      <c r="L55" s="179" t="s">
        <v>73</v>
      </c>
      <c r="M55" s="180" t="s">
        <v>109</v>
      </c>
    </row>
    <row r="56" spans="1:13" x14ac:dyDescent="0.35">
      <c r="A56" s="229">
        <f>SUBTOTAL(103,Tabla17[número de árboles])</f>
        <v>54</v>
      </c>
      <c r="B56" s="239" t="s">
        <v>200</v>
      </c>
      <c r="C56" s="238">
        <f>SUBTOTAL(101,Tabla17[altura])</f>
        <v>4.4074074074074074</v>
      </c>
      <c r="D56" s="238">
        <f>SUBTOTAL(101,Tabla17[diámetro])</f>
        <v>11.56</v>
      </c>
      <c r="E56" s="238">
        <f>SUBTOTAL(101,Tabla17[Hermanado1])</f>
        <v>14.25</v>
      </c>
      <c r="F56" s="238">
        <f>SUBTOTAL(101,Tabla17[Hermanado2])</f>
        <v>10.75</v>
      </c>
      <c r="G56" s="239"/>
      <c r="H56" s="238"/>
      <c r="I56" s="337"/>
      <c r="J56" s="337"/>
      <c r="K56" s="337"/>
      <c r="L56" s="151"/>
      <c r="M56" s="152">
        <f>SUBTOTAL(103,Tabla17[observaciones])</f>
        <v>5</v>
      </c>
    </row>
    <row r="57" spans="1:13" x14ac:dyDescent="0.35">
      <c r="A57" s="19" t="s">
        <v>53</v>
      </c>
    </row>
    <row r="58" spans="1:13" x14ac:dyDescent="0.35">
      <c r="A58" s="19"/>
    </row>
    <row r="59" spans="1:13" x14ac:dyDescent="0.35">
      <c r="A59" s="19" t="s">
        <v>54</v>
      </c>
    </row>
    <row r="60" spans="1:13" x14ac:dyDescent="0.35">
      <c r="A60" s="19"/>
    </row>
    <row r="62" spans="1:13" ht="15" thickBot="1" x14ac:dyDescent="0.4">
      <c r="A62" s="19" t="s">
        <v>64</v>
      </c>
    </row>
    <row r="63" spans="1:13" ht="15" thickBot="1" x14ac:dyDescent="0.4">
      <c r="A63" s="365" t="s">
        <v>51</v>
      </c>
      <c r="B63" s="366"/>
      <c r="C63" s="366"/>
      <c r="D63" s="366"/>
      <c r="E63" s="366"/>
      <c r="F63" s="366"/>
      <c r="G63" s="366"/>
      <c r="H63" s="366"/>
      <c r="I63" s="366"/>
      <c r="J63" s="367"/>
    </row>
    <row r="64" spans="1:13" ht="15" thickBot="1" x14ac:dyDescent="0.4">
      <c r="A64" s="19" t="s">
        <v>63</v>
      </c>
    </row>
    <row r="65" spans="1:10" ht="15" thickBot="1" x14ac:dyDescent="0.4">
      <c r="A65" s="365" t="s">
        <v>247</v>
      </c>
      <c r="B65" s="366"/>
      <c r="C65" s="366"/>
      <c r="D65" s="366"/>
      <c r="E65" s="366"/>
      <c r="F65" s="366"/>
      <c r="G65" s="366"/>
      <c r="H65" s="366"/>
      <c r="I65" s="366"/>
      <c r="J65" s="367"/>
    </row>
    <row r="66" spans="1:10" ht="15" thickBot="1" x14ac:dyDescent="0.4"/>
    <row r="67" spans="1:10" ht="15" thickBot="1" x14ac:dyDescent="0.4">
      <c r="A67" t="s">
        <v>128</v>
      </c>
      <c r="B67">
        <f>COUNT(Tabla17[[diámetro]:[Hermanado5]])</f>
        <v>59</v>
      </c>
      <c r="C67">
        <f>25*25</f>
        <v>625</v>
      </c>
      <c r="E67" s="55" t="s">
        <v>29</v>
      </c>
      <c r="F67" s="57"/>
      <c r="G67" s="29" t="s">
        <v>65</v>
      </c>
      <c r="H67" s="30"/>
      <c r="I67" s="28" t="s">
        <v>4</v>
      </c>
      <c r="J67" s="30"/>
    </row>
    <row r="68" spans="1:10" ht="15" thickBot="1" x14ac:dyDescent="0.4">
      <c r="B68">
        <f>B67*C68/C67</f>
        <v>944</v>
      </c>
      <c r="C68">
        <v>10000</v>
      </c>
      <c r="E68" s="67" t="s">
        <v>30</v>
      </c>
      <c r="F68" s="68" t="s">
        <v>31</v>
      </c>
      <c r="G68" s="43">
        <v>125</v>
      </c>
      <c r="H68" s="21" t="s">
        <v>23</v>
      </c>
      <c r="I68" s="13" t="s">
        <v>6</v>
      </c>
      <c r="J68" s="14" t="s">
        <v>58</v>
      </c>
    </row>
    <row r="69" spans="1:10" ht="21.5" thickBot="1" x14ac:dyDescent="0.55000000000000004">
      <c r="A69" s="27" t="s">
        <v>119</v>
      </c>
      <c r="B69" s="49" t="s">
        <v>28</v>
      </c>
      <c r="C69" s="10" t="s">
        <v>52</v>
      </c>
      <c r="D69" s="50" t="s">
        <v>147</v>
      </c>
      <c r="E69" s="69" t="s">
        <v>32</v>
      </c>
      <c r="F69" s="70" t="s">
        <v>33</v>
      </c>
      <c r="G69" s="44">
        <v>130</v>
      </c>
      <c r="H69" s="23" t="s">
        <v>25</v>
      </c>
      <c r="I69" s="15" t="s">
        <v>5</v>
      </c>
      <c r="J69" s="16" t="s">
        <v>59</v>
      </c>
    </row>
    <row r="70" spans="1:10" ht="15" thickBot="1" x14ac:dyDescent="0.4">
      <c r="A70" s="10"/>
      <c r="B70" s="12">
        <v>2</v>
      </c>
      <c r="C70" s="12">
        <v>1</v>
      </c>
      <c r="D70" s="49">
        <f>B68</f>
        <v>944</v>
      </c>
      <c r="E70" s="69" t="s">
        <v>34</v>
      </c>
      <c r="F70" s="70" t="s">
        <v>35</v>
      </c>
      <c r="G70" s="44">
        <v>46</v>
      </c>
      <c r="H70" s="23" t="s">
        <v>26</v>
      </c>
      <c r="I70" s="15" t="s">
        <v>13</v>
      </c>
      <c r="J70" s="16" t="s">
        <v>60</v>
      </c>
    </row>
    <row r="71" spans="1:10" x14ac:dyDescent="0.35">
      <c r="E71" s="69" t="s">
        <v>36</v>
      </c>
      <c r="F71" s="71" t="s">
        <v>37</v>
      </c>
      <c r="G71" s="44">
        <v>43</v>
      </c>
      <c r="H71" s="23" t="s">
        <v>27</v>
      </c>
      <c r="I71" s="15" t="s">
        <v>10</v>
      </c>
      <c r="J71" s="16" t="s">
        <v>61</v>
      </c>
    </row>
    <row r="72" spans="1:10" ht="15" thickBot="1" x14ac:dyDescent="0.4">
      <c r="E72" s="69" t="s">
        <v>16</v>
      </c>
      <c r="F72" s="70" t="s">
        <v>38</v>
      </c>
      <c r="G72" s="44">
        <v>23</v>
      </c>
      <c r="H72" s="23" t="s">
        <v>22</v>
      </c>
      <c r="I72" s="17" t="s">
        <v>12</v>
      </c>
      <c r="J72" s="18" t="s">
        <v>62</v>
      </c>
    </row>
    <row r="73" spans="1:10" x14ac:dyDescent="0.35">
      <c r="E73" s="69" t="s">
        <v>39</v>
      </c>
      <c r="F73" s="70" t="s">
        <v>40</v>
      </c>
      <c r="G73" s="44">
        <v>73</v>
      </c>
      <c r="H73" s="23" t="s">
        <v>24</v>
      </c>
    </row>
    <row r="74" spans="1:10" x14ac:dyDescent="0.35">
      <c r="E74" s="69" t="s">
        <v>41</v>
      </c>
      <c r="F74" s="70" t="s">
        <v>42</v>
      </c>
      <c r="G74" s="44">
        <v>87</v>
      </c>
      <c r="H74" s="23" t="s">
        <v>47</v>
      </c>
    </row>
    <row r="75" spans="1:10" x14ac:dyDescent="0.35">
      <c r="E75" s="69" t="s">
        <v>43</v>
      </c>
      <c r="F75" s="70" t="s">
        <v>44</v>
      </c>
      <c r="G75" s="44">
        <v>3</v>
      </c>
      <c r="H75" s="23" t="s">
        <v>48</v>
      </c>
    </row>
    <row r="76" spans="1:10" ht="15" thickBot="1" x14ac:dyDescent="0.4">
      <c r="E76" s="72" t="s">
        <v>45</v>
      </c>
      <c r="F76" s="73" t="s">
        <v>46</v>
      </c>
      <c r="G76" s="44">
        <v>82</v>
      </c>
      <c r="H76" s="23" t="s">
        <v>50</v>
      </c>
    </row>
    <row r="77" spans="1:10" x14ac:dyDescent="0.35">
      <c r="G77" s="22">
        <v>83</v>
      </c>
      <c r="H77" s="23" t="s">
        <v>49</v>
      </c>
    </row>
    <row r="78" spans="1:10" x14ac:dyDescent="0.35">
      <c r="G78" s="22">
        <v>42</v>
      </c>
      <c r="H78" s="23" t="s">
        <v>51</v>
      </c>
    </row>
    <row r="79" spans="1:10" x14ac:dyDescent="0.35">
      <c r="G79" s="22">
        <v>112</v>
      </c>
      <c r="H79" s="23" t="s">
        <v>66</v>
      </c>
    </row>
    <row r="80" spans="1:10" ht="15" thickBot="1" x14ac:dyDescent="0.4">
      <c r="G80" s="25">
        <v>113</v>
      </c>
      <c r="H80" s="26" t="s">
        <v>67</v>
      </c>
    </row>
    <row r="100" spans="1:10" x14ac:dyDescent="0.35">
      <c r="A100" t="s">
        <v>228</v>
      </c>
      <c r="B100" t="s">
        <v>206</v>
      </c>
      <c r="C100" t="s">
        <v>229</v>
      </c>
      <c r="D100" t="s">
        <v>142</v>
      </c>
      <c r="E100" t="s">
        <v>147</v>
      </c>
      <c r="F100" t="s">
        <v>225</v>
      </c>
      <c r="G100" t="s">
        <v>207</v>
      </c>
      <c r="H100" t="s">
        <v>231</v>
      </c>
      <c r="I100" t="s">
        <v>213</v>
      </c>
      <c r="J100" t="s">
        <v>215</v>
      </c>
    </row>
    <row r="101" spans="1:10" x14ac:dyDescent="0.35">
      <c r="A101" t="s">
        <v>212</v>
      </c>
      <c r="B101">
        <f>COUNTIF($D$1:$L$55,"&gt;=2,5")-COUNTIF($D$1:$L$55,"&gt;7,4")</f>
        <v>19</v>
      </c>
      <c r="C101">
        <v>5</v>
      </c>
      <c r="D101" s="76"/>
      <c r="E101" s="76">
        <f>(B101*10000)/625</f>
        <v>304</v>
      </c>
      <c r="F101" s="76">
        <f>(PI()/4)*(C101/100)^2</f>
        <v>1.9634954084936209E-3</v>
      </c>
      <c r="G101" s="76">
        <f>E101*F101</f>
        <v>0.59690260418206076</v>
      </c>
    </row>
    <row r="102" spans="1:10" x14ac:dyDescent="0.35">
      <c r="A102" t="s">
        <v>211</v>
      </c>
      <c r="B102">
        <f>COUNTIF($D$1:$L$55,"&gt;=7,5")-COUNTIF($D$1:$L$55,"&gt;12,4")</f>
        <v>10</v>
      </c>
      <c r="C102">
        <v>10</v>
      </c>
      <c r="D102" s="76"/>
      <c r="E102" s="76">
        <f t="shared" ref="E102:E108" si="2">(B102*10000)/625</f>
        <v>160</v>
      </c>
      <c r="F102" s="76">
        <f t="shared" ref="F102:F108" si="3">(PI()/4)*(C102/100)^2</f>
        <v>7.8539816339744835E-3</v>
      </c>
      <c r="G102" s="76">
        <f t="shared" ref="G102:G108" si="4">E102*F102</f>
        <v>1.2566370614359172</v>
      </c>
    </row>
    <row r="103" spans="1:10" x14ac:dyDescent="0.35">
      <c r="A103" t="s">
        <v>209</v>
      </c>
      <c r="B103">
        <f>COUNTIF($D$1:$L$55,"&gt;=12,5")-COUNTIF($D$1:$L$55,"&gt;17,4")</f>
        <v>21</v>
      </c>
      <c r="C103">
        <v>15</v>
      </c>
      <c r="D103" s="76"/>
      <c r="E103" s="76">
        <f t="shared" si="2"/>
        <v>336</v>
      </c>
      <c r="F103" s="76">
        <f t="shared" si="3"/>
        <v>1.7671458676442587E-2</v>
      </c>
      <c r="G103" s="76">
        <f t="shared" si="4"/>
        <v>5.9376101152847092</v>
      </c>
    </row>
    <row r="104" spans="1:10" x14ac:dyDescent="0.35">
      <c r="A104" t="s">
        <v>208</v>
      </c>
      <c r="B104">
        <f>COUNTIF($D$1:$L$55,"&gt;=17,5")-COUNTIF($D$1:$L$55,"&gt;22,4")</f>
        <v>9</v>
      </c>
      <c r="C104">
        <v>20</v>
      </c>
      <c r="D104" s="76"/>
      <c r="E104" s="76">
        <f t="shared" si="2"/>
        <v>144</v>
      </c>
      <c r="F104" s="76">
        <f t="shared" si="3"/>
        <v>3.1415926535897934E-2</v>
      </c>
      <c r="G104" s="76">
        <f t="shared" si="4"/>
        <v>4.5238934211693023</v>
      </c>
    </row>
    <row r="105" spans="1:10" x14ac:dyDescent="0.35">
      <c r="A105" t="s">
        <v>210</v>
      </c>
      <c r="B105">
        <f>COUNTIF($D$1:$L$55,"&gt;=22,5")-COUNTIF($D$1:$L$55,"&gt;27,4")</f>
        <v>0</v>
      </c>
      <c r="C105">
        <v>25</v>
      </c>
      <c r="D105" s="76"/>
      <c r="E105" s="76">
        <f t="shared" si="2"/>
        <v>0</v>
      </c>
      <c r="F105" s="76">
        <f t="shared" si="3"/>
        <v>4.9087385212340517E-2</v>
      </c>
      <c r="G105" s="76">
        <f t="shared" si="4"/>
        <v>0</v>
      </c>
    </row>
    <row r="106" spans="1:10" x14ac:dyDescent="0.35">
      <c r="A106" t="s">
        <v>221</v>
      </c>
      <c r="B106">
        <f>COUNTIF($D$1:$L$55,"&gt;=27,5")-COUNTIF($D$1:$L$55,"&gt;32,4")</f>
        <v>0</v>
      </c>
      <c r="C106">
        <v>30</v>
      </c>
      <c r="D106" s="76"/>
      <c r="E106" s="76">
        <f t="shared" si="2"/>
        <v>0</v>
      </c>
      <c r="F106" s="76">
        <f t="shared" si="3"/>
        <v>7.0685834705770348E-2</v>
      </c>
      <c r="G106" s="76">
        <f t="shared" si="4"/>
        <v>0</v>
      </c>
    </row>
    <row r="107" spans="1:10" x14ac:dyDescent="0.35">
      <c r="A107" t="s">
        <v>222</v>
      </c>
      <c r="B107">
        <f>COUNTIF($D$1:$L$55,"&gt;=32,5")-COUNTIF($D$1:$L$55,"&gt;37,4")</f>
        <v>0</v>
      </c>
      <c r="C107">
        <v>35</v>
      </c>
      <c r="D107" s="76"/>
      <c r="E107" s="76">
        <f t="shared" si="2"/>
        <v>0</v>
      </c>
      <c r="F107" s="76">
        <f t="shared" si="3"/>
        <v>9.6211275016187398E-2</v>
      </c>
      <c r="G107" s="76">
        <f t="shared" si="4"/>
        <v>0</v>
      </c>
    </row>
    <row r="108" spans="1:10" x14ac:dyDescent="0.35">
      <c r="A108" t="s">
        <v>223</v>
      </c>
      <c r="B108">
        <f>COUNTIF($D$1:$L$55,"&gt;=37,5")-COUNTIF($D$1:$L$55,"&gt;42,4")</f>
        <v>0</v>
      </c>
      <c r="C108">
        <v>40</v>
      </c>
      <c r="D108" s="76"/>
      <c r="E108" s="76">
        <f t="shared" si="2"/>
        <v>0</v>
      </c>
      <c r="F108" s="76">
        <f t="shared" si="3"/>
        <v>0.12566370614359174</v>
      </c>
      <c r="G108" s="76">
        <f t="shared" si="4"/>
        <v>0</v>
      </c>
    </row>
    <row r="109" spans="1:10" x14ac:dyDescent="0.35">
      <c r="A109" t="s">
        <v>146</v>
      </c>
      <c r="B109">
        <f>SUBTOTAL(109,Tabla39[NÚMERO DE PIES])</f>
        <v>59</v>
      </c>
      <c r="C109">
        <f>SUBTOTAL(103,Tabla39[CLASE DIAMETRICA])</f>
        <v>8</v>
      </c>
      <c r="D109" s="78"/>
      <c r="E109" s="78">
        <f>SUBTOTAL(109,Tabla39[pies/ha])</f>
        <v>944</v>
      </c>
      <c r="F109" s="78">
        <f>SUBTOTAL(101,Tabla39[gn (m2)])</f>
        <v>5.0069132916587329E-2</v>
      </c>
      <c r="G109" s="78">
        <f>SUBTOTAL(109,Tabla39[G (m2/ha.)])</f>
        <v>12.31504320207199</v>
      </c>
      <c r="J109">
        <f>SUBTOTAL(103,Tabla39[AB (m2) final])</f>
        <v>0</v>
      </c>
    </row>
  </sheetData>
  <mergeCells count="2">
    <mergeCell ref="A65:J65"/>
    <mergeCell ref="A63:J63"/>
  </mergeCells>
  <pageMargins left="0.7" right="0.7" top="0.75" bottom="0.75" header="0.3" footer="0.3"/>
  <pageSetup paperSize="8" scale="64" orientation="portrait" r:id="rId1"/>
  <headerFooter>
    <oddHeader>&amp;C
Parcela &amp;"-,Negrita"&amp;KC00000C6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view="pageLayout" topLeftCell="A82" zoomScale="65" zoomScaleNormal="100" zoomScalePageLayoutView="65" workbookViewId="0">
      <selection activeCell="B99" sqref="B99"/>
    </sheetView>
  </sheetViews>
  <sheetFormatPr baseColWidth="10" defaultColWidth="8.7265625" defaultRowHeight="14.5" x14ac:dyDescent="0.35"/>
  <cols>
    <col min="1" max="1" width="14.6328125" customWidth="1"/>
    <col min="2" max="2" width="16.1796875" customWidth="1"/>
    <col min="3" max="3" width="17.7265625" customWidth="1"/>
    <col min="4" max="6" width="13.7265625" customWidth="1"/>
    <col min="7" max="7" width="14.7265625" customWidth="1"/>
    <col min="8" max="8" width="13.7265625" customWidth="1"/>
    <col min="9" max="9" width="11.7265625" customWidth="1"/>
    <col min="10" max="10" width="14.7265625" customWidth="1"/>
    <col min="11" max="11" width="14" customWidth="1"/>
    <col min="12" max="12" width="12.08984375" customWidth="1"/>
  </cols>
  <sheetData>
    <row r="1" spans="1:13" x14ac:dyDescent="0.35">
      <c r="A1" s="60" t="s">
        <v>148</v>
      </c>
      <c r="B1" s="41" t="s">
        <v>1</v>
      </c>
      <c r="C1" s="41" t="s">
        <v>2</v>
      </c>
      <c r="D1" s="41" t="s">
        <v>3</v>
      </c>
      <c r="E1" s="41" t="s">
        <v>8</v>
      </c>
      <c r="F1" s="41" t="s">
        <v>7</v>
      </c>
      <c r="G1" s="41" t="s">
        <v>141</v>
      </c>
      <c r="H1" s="41" t="s">
        <v>9</v>
      </c>
      <c r="I1" s="41" t="s">
        <v>195</v>
      </c>
      <c r="J1" s="41" t="s">
        <v>214</v>
      </c>
      <c r="K1" s="41" t="s">
        <v>143</v>
      </c>
      <c r="L1" s="41" t="s">
        <v>4</v>
      </c>
      <c r="M1" s="41" t="s">
        <v>21</v>
      </c>
    </row>
    <row r="2" spans="1:13" x14ac:dyDescent="0.35">
      <c r="A2" s="139">
        <v>1</v>
      </c>
      <c r="B2" s="139">
        <v>125</v>
      </c>
      <c r="C2" s="139">
        <f ca="1">SUM(Tabla1[[#This Row],[altura]])</f>
        <v>0</v>
      </c>
      <c r="D2" s="139">
        <v>13</v>
      </c>
      <c r="E2" s="139"/>
      <c r="F2" s="139"/>
      <c r="G2" s="139"/>
      <c r="H2" s="139"/>
      <c r="I2" s="139"/>
      <c r="J2" s="146">
        <f>PI()*(((D2)/2)/100)^2+PI()*(((E2)/2)/100)^2+PI()*(((F2)/2)/100)^2+PI()*(((G2)/2)/100)^2+PI()*(((H2)/2)/100)^2+PI()*(((I2)/2)/100)^2</f>
        <v>1.3273228961416878E-2</v>
      </c>
      <c r="K2" s="139"/>
      <c r="L2" s="139" t="s">
        <v>10</v>
      </c>
      <c r="M2" s="140"/>
    </row>
    <row r="3" spans="1:13" x14ac:dyDescent="0.35">
      <c r="A3" s="139">
        <v>2</v>
      </c>
      <c r="B3" s="139">
        <v>112</v>
      </c>
      <c r="C3" s="139">
        <v>9.5</v>
      </c>
      <c r="D3" s="138"/>
      <c r="E3" s="139">
        <v>19</v>
      </c>
      <c r="F3" s="139">
        <v>17</v>
      </c>
      <c r="G3" s="139"/>
      <c r="H3" s="139"/>
      <c r="I3" s="139"/>
      <c r="J3" s="146">
        <f t="shared" ref="J3:J31" si="0">PI()*(((D3)/2)/100)^2+PI()*(((E3)/2)/100)^2+PI()*(((F3)/2)/100)^2+PI()*(((G3)/2)/100)^2+PI()*(((H3)/2)/100)^2+PI()*(((I3)/2)/100)^2</f>
        <v>5.1050880620834141E-2</v>
      </c>
      <c r="K3" s="139"/>
      <c r="L3" s="139" t="s">
        <v>12</v>
      </c>
      <c r="M3" s="140"/>
    </row>
    <row r="4" spans="1:13" x14ac:dyDescent="0.35">
      <c r="A4" s="139">
        <v>3</v>
      </c>
      <c r="B4" s="139">
        <v>125</v>
      </c>
      <c r="C4" s="139">
        <v>8.5</v>
      </c>
      <c r="D4" s="138"/>
      <c r="E4" s="139">
        <v>18</v>
      </c>
      <c r="F4" s="139">
        <v>12</v>
      </c>
      <c r="G4" s="139"/>
      <c r="H4" s="139"/>
      <c r="I4" s="139"/>
      <c r="J4" s="146">
        <f t="shared" si="0"/>
        <v>3.675663404700058E-2</v>
      </c>
      <c r="K4" s="139"/>
      <c r="L4" s="139" t="s">
        <v>13</v>
      </c>
      <c r="M4" s="140"/>
    </row>
    <row r="5" spans="1:13" x14ac:dyDescent="0.35">
      <c r="A5" s="139">
        <v>4</v>
      </c>
      <c r="B5" s="143">
        <v>125</v>
      </c>
      <c r="C5" s="143">
        <v>10.5</v>
      </c>
      <c r="D5" s="147"/>
      <c r="E5" s="143">
        <v>14</v>
      </c>
      <c r="F5" s="143">
        <v>10</v>
      </c>
      <c r="G5" s="143">
        <v>16</v>
      </c>
      <c r="H5" s="143"/>
      <c r="I5" s="143"/>
      <c r="J5" s="309">
        <f t="shared" si="0"/>
        <v>4.3353978619539144E-2</v>
      </c>
      <c r="K5" s="143">
        <v>3</v>
      </c>
      <c r="L5" s="143" t="s">
        <v>13</v>
      </c>
      <c r="M5" s="144" t="s">
        <v>57</v>
      </c>
    </row>
    <row r="6" spans="1:13" x14ac:dyDescent="0.35">
      <c r="A6" s="139">
        <v>5</v>
      </c>
      <c r="B6" s="139">
        <v>125</v>
      </c>
      <c r="C6" s="139">
        <v>10</v>
      </c>
      <c r="D6" s="139">
        <v>18</v>
      </c>
      <c r="E6" s="139"/>
      <c r="F6" s="139"/>
      <c r="G6" s="139"/>
      <c r="H6" s="139"/>
      <c r="I6" s="139"/>
      <c r="J6" s="146">
        <f t="shared" si="0"/>
        <v>2.5446900494077322E-2</v>
      </c>
      <c r="K6" s="139"/>
      <c r="L6" s="139" t="s">
        <v>12</v>
      </c>
      <c r="M6" s="140"/>
    </row>
    <row r="7" spans="1:13" x14ac:dyDescent="0.35">
      <c r="A7" s="139">
        <v>6</v>
      </c>
      <c r="B7" s="141">
        <v>125</v>
      </c>
      <c r="C7" s="141">
        <v>10.5</v>
      </c>
      <c r="D7" s="149"/>
      <c r="E7" s="141">
        <v>19</v>
      </c>
      <c r="F7" s="141">
        <v>10</v>
      </c>
      <c r="G7" s="141"/>
      <c r="H7" s="141"/>
      <c r="I7" s="141"/>
      <c r="J7" s="310">
        <f t="shared" si="0"/>
        <v>3.620685533262237E-2</v>
      </c>
      <c r="K7" s="141">
        <v>2</v>
      </c>
      <c r="L7" s="141" t="s">
        <v>12</v>
      </c>
      <c r="M7" s="142"/>
    </row>
    <row r="8" spans="1:13" x14ac:dyDescent="0.35">
      <c r="A8" s="139">
        <v>7</v>
      </c>
      <c r="B8" s="139">
        <v>125</v>
      </c>
      <c r="C8" s="139">
        <v>9</v>
      </c>
      <c r="D8" s="139">
        <v>21</v>
      </c>
      <c r="E8" s="139"/>
      <c r="F8" s="139"/>
      <c r="G8" s="139"/>
      <c r="H8" s="139"/>
      <c r="I8" s="139"/>
      <c r="J8" s="146">
        <f t="shared" si="0"/>
        <v>3.4636059005827467E-2</v>
      </c>
      <c r="K8" s="139"/>
      <c r="L8" s="139" t="s">
        <v>13</v>
      </c>
      <c r="M8" s="140"/>
    </row>
    <row r="9" spans="1:13" x14ac:dyDescent="0.35">
      <c r="A9" s="139">
        <v>8</v>
      </c>
      <c r="B9" s="135">
        <v>125</v>
      </c>
      <c r="C9" s="135">
        <v>10</v>
      </c>
      <c r="D9" s="135">
        <v>21</v>
      </c>
      <c r="E9" s="135"/>
      <c r="F9" s="135"/>
      <c r="G9" s="135"/>
      <c r="H9" s="135"/>
      <c r="I9" s="135"/>
      <c r="J9" s="311">
        <f t="shared" si="0"/>
        <v>3.4636059005827467E-2</v>
      </c>
      <c r="K9" s="135">
        <v>1</v>
      </c>
      <c r="L9" s="135" t="s">
        <v>12</v>
      </c>
      <c r="M9" s="136"/>
    </row>
    <row r="10" spans="1:13" x14ac:dyDescent="0.35">
      <c r="A10" s="139">
        <v>9</v>
      </c>
      <c r="B10" s="139">
        <v>46</v>
      </c>
      <c r="C10" s="139">
        <v>4.5</v>
      </c>
      <c r="D10" s="138"/>
      <c r="E10" s="139">
        <v>7</v>
      </c>
      <c r="F10" s="139">
        <v>5</v>
      </c>
      <c r="G10" s="139">
        <v>5</v>
      </c>
      <c r="H10" s="139"/>
      <c r="I10" s="139"/>
      <c r="J10" s="146">
        <f t="shared" si="0"/>
        <v>7.7754418176347387E-3</v>
      </c>
      <c r="K10" s="139"/>
      <c r="L10" s="139" t="s">
        <v>5</v>
      </c>
      <c r="M10" s="140"/>
    </row>
    <row r="11" spans="1:13" x14ac:dyDescent="0.35">
      <c r="A11" s="139">
        <v>10</v>
      </c>
      <c r="B11" s="139">
        <v>46</v>
      </c>
      <c r="C11" s="139">
        <v>3.5</v>
      </c>
      <c r="D11" s="139">
        <v>6</v>
      </c>
      <c r="E11" s="139"/>
      <c r="F11" s="139"/>
      <c r="G11" s="139"/>
      <c r="H11" s="139"/>
      <c r="I11" s="139"/>
      <c r="J11" s="146">
        <f t="shared" si="0"/>
        <v>2.8274333882308137E-3</v>
      </c>
      <c r="K11" s="139"/>
      <c r="L11" s="139" t="s">
        <v>5</v>
      </c>
      <c r="M11" s="140"/>
    </row>
    <row r="12" spans="1:13" x14ac:dyDescent="0.35">
      <c r="A12" s="139">
        <v>11</v>
      </c>
      <c r="B12" s="139">
        <v>125</v>
      </c>
      <c r="C12" s="139">
        <v>10</v>
      </c>
      <c r="D12" s="138"/>
      <c r="E12" s="139">
        <v>8</v>
      </c>
      <c r="F12" s="139">
        <v>5</v>
      </c>
      <c r="G12" s="139"/>
      <c r="H12" s="139"/>
      <c r="I12" s="139"/>
      <c r="J12" s="146">
        <f t="shared" si="0"/>
        <v>6.9900436542372898E-3</v>
      </c>
      <c r="K12" s="139"/>
      <c r="L12" s="139" t="s">
        <v>5</v>
      </c>
      <c r="M12" s="140"/>
    </row>
    <row r="13" spans="1:13" x14ac:dyDescent="0.35">
      <c r="A13" s="139">
        <v>12</v>
      </c>
      <c r="B13" s="139">
        <v>125</v>
      </c>
      <c r="C13" s="139">
        <v>12</v>
      </c>
      <c r="D13" s="139">
        <v>16</v>
      </c>
      <c r="E13" s="139"/>
      <c r="F13" s="139"/>
      <c r="G13" s="139"/>
      <c r="H13" s="139"/>
      <c r="I13" s="139"/>
      <c r="J13" s="146">
        <f t="shared" si="0"/>
        <v>2.0106192982974676E-2</v>
      </c>
      <c r="K13" s="139"/>
      <c r="L13" s="139" t="s">
        <v>12</v>
      </c>
      <c r="M13" s="140"/>
    </row>
    <row r="14" spans="1:13" x14ac:dyDescent="0.35">
      <c r="A14" s="139">
        <v>13</v>
      </c>
      <c r="B14" s="139">
        <v>43</v>
      </c>
      <c r="C14" s="139">
        <v>13</v>
      </c>
      <c r="D14" s="138"/>
      <c r="E14" s="139">
        <v>26</v>
      </c>
      <c r="F14" s="139">
        <v>16</v>
      </c>
      <c r="G14" s="139"/>
      <c r="H14" s="139"/>
      <c r="I14" s="139"/>
      <c r="J14" s="146">
        <f t="shared" si="0"/>
        <v>7.3199108828642195E-2</v>
      </c>
      <c r="K14" s="139"/>
      <c r="L14" s="139" t="s">
        <v>12</v>
      </c>
      <c r="M14" s="140"/>
    </row>
    <row r="15" spans="1:13" x14ac:dyDescent="0.35">
      <c r="A15" s="139">
        <v>14</v>
      </c>
      <c r="B15" s="141">
        <v>125</v>
      </c>
      <c r="C15" s="141">
        <v>10</v>
      </c>
      <c r="D15" s="149"/>
      <c r="E15" s="141">
        <v>18</v>
      </c>
      <c r="F15" s="141">
        <v>16</v>
      </c>
      <c r="G15" s="141"/>
      <c r="H15" s="141"/>
      <c r="I15" s="141"/>
      <c r="J15" s="310">
        <f t="shared" si="0"/>
        <v>4.5553093477051998E-2</v>
      </c>
      <c r="K15" s="141">
        <v>2</v>
      </c>
      <c r="L15" s="141" t="s">
        <v>12</v>
      </c>
      <c r="M15" s="142"/>
    </row>
    <row r="16" spans="1:13" x14ac:dyDescent="0.35">
      <c r="A16" s="139">
        <v>15</v>
      </c>
      <c r="B16" s="139">
        <v>46</v>
      </c>
      <c r="C16" s="139">
        <v>3</v>
      </c>
      <c r="D16" s="138"/>
      <c r="E16" s="139">
        <v>7</v>
      </c>
      <c r="F16" s="139">
        <v>7</v>
      </c>
      <c r="G16" s="139">
        <v>7</v>
      </c>
      <c r="H16" s="139"/>
      <c r="I16" s="139"/>
      <c r="J16" s="146">
        <f t="shared" si="0"/>
        <v>1.1545353001942491E-2</v>
      </c>
      <c r="K16" s="139"/>
      <c r="L16" s="139" t="s">
        <v>6</v>
      </c>
      <c r="M16" s="140" t="s">
        <v>56</v>
      </c>
    </row>
    <row r="17" spans="1:13" x14ac:dyDescent="0.35">
      <c r="A17" s="139">
        <v>16</v>
      </c>
      <c r="B17" s="141">
        <v>125</v>
      </c>
      <c r="C17" s="141">
        <v>10.5</v>
      </c>
      <c r="D17" s="149"/>
      <c r="E17" s="141">
        <v>15</v>
      </c>
      <c r="F17" s="141">
        <v>7</v>
      </c>
      <c r="G17" s="141"/>
      <c r="H17" s="141"/>
      <c r="I17" s="141"/>
      <c r="J17" s="310">
        <f t="shared" si="0"/>
        <v>2.1519909677090082E-2</v>
      </c>
      <c r="K17" s="141">
        <v>2</v>
      </c>
      <c r="L17" s="141" t="s">
        <v>10</v>
      </c>
      <c r="M17" s="142"/>
    </row>
    <row r="18" spans="1:13" x14ac:dyDescent="0.35">
      <c r="A18" s="139">
        <v>17</v>
      </c>
      <c r="B18" s="139">
        <v>125</v>
      </c>
      <c r="C18" s="139">
        <v>12</v>
      </c>
      <c r="D18" s="138"/>
      <c r="E18" s="139">
        <v>17</v>
      </c>
      <c r="F18" s="139">
        <v>13</v>
      </c>
      <c r="G18" s="139"/>
      <c r="H18" s="139"/>
      <c r="I18" s="139"/>
      <c r="J18" s="146">
        <f t="shared" si="0"/>
        <v>3.5971235883603139E-2</v>
      </c>
      <c r="K18" s="139"/>
      <c r="L18" s="139" t="s">
        <v>12</v>
      </c>
      <c r="M18" s="140"/>
    </row>
    <row r="19" spans="1:13" x14ac:dyDescent="0.35">
      <c r="A19" s="139">
        <v>18</v>
      </c>
      <c r="B19" s="141">
        <v>125</v>
      </c>
      <c r="C19" s="141">
        <v>12</v>
      </c>
      <c r="D19" s="149"/>
      <c r="E19" s="141">
        <v>22</v>
      </c>
      <c r="F19" s="141">
        <v>13</v>
      </c>
      <c r="G19" s="141"/>
      <c r="H19" s="141"/>
      <c r="I19" s="141"/>
      <c r="J19" s="310">
        <f t="shared" si="0"/>
        <v>5.1286500069853372E-2</v>
      </c>
      <c r="K19" s="141">
        <v>2</v>
      </c>
      <c r="L19" s="141" t="s">
        <v>13</v>
      </c>
      <c r="M19" s="142"/>
    </row>
    <row r="20" spans="1:13" x14ac:dyDescent="0.35">
      <c r="A20" s="139">
        <v>19</v>
      </c>
      <c r="B20" s="139">
        <v>46</v>
      </c>
      <c r="C20" s="139">
        <v>3</v>
      </c>
      <c r="D20" s="139">
        <v>5</v>
      </c>
      <c r="E20" s="139"/>
      <c r="F20" s="139"/>
      <c r="G20" s="139"/>
      <c r="H20" s="139"/>
      <c r="I20" s="139"/>
      <c r="J20" s="146">
        <f t="shared" si="0"/>
        <v>1.9634954084936209E-3</v>
      </c>
      <c r="K20" s="139"/>
      <c r="L20" s="139" t="s">
        <v>6</v>
      </c>
      <c r="M20" s="140"/>
    </row>
    <row r="21" spans="1:13" x14ac:dyDescent="0.35">
      <c r="A21" s="139">
        <v>20</v>
      </c>
      <c r="B21" s="139">
        <v>125</v>
      </c>
      <c r="C21" s="139">
        <v>1.5</v>
      </c>
      <c r="D21" s="139">
        <v>12</v>
      </c>
      <c r="E21" s="139"/>
      <c r="F21" s="139"/>
      <c r="G21" s="139"/>
      <c r="H21" s="139"/>
      <c r="I21" s="139"/>
      <c r="J21" s="146">
        <f t="shared" si="0"/>
        <v>1.1309733552923255E-2</v>
      </c>
      <c r="K21" s="139"/>
      <c r="L21" s="139" t="s">
        <v>6</v>
      </c>
      <c r="M21" s="140"/>
    </row>
    <row r="22" spans="1:13" x14ac:dyDescent="0.35">
      <c r="A22" s="139">
        <v>21</v>
      </c>
      <c r="B22" s="139">
        <v>112</v>
      </c>
      <c r="C22" s="139">
        <v>10.5</v>
      </c>
      <c r="D22" s="138"/>
      <c r="E22" s="139">
        <v>18</v>
      </c>
      <c r="F22" s="139">
        <v>5</v>
      </c>
      <c r="G22" s="139"/>
      <c r="H22" s="139"/>
      <c r="I22" s="139"/>
      <c r="J22" s="146">
        <f t="shared" si="0"/>
        <v>2.7410395902570942E-2</v>
      </c>
      <c r="K22" s="139"/>
      <c r="L22" s="139" t="s">
        <v>13</v>
      </c>
      <c r="M22" s="140"/>
    </row>
    <row r="23" spans="1:13" x14ac:dyDescent="0.35">
      <c r="A23" s="139">
        <v>22</v>
      </c>
      <c r="B23" s="135">
        <v>125</v>
      </c>
      <c r="C23" s="135">
        <v>10</v>
      </c>
      <c r="D23" s="135">
        <v>17</v>
      </c>
      <c r="E23" s="135"/>
      <c r="F23" s="135"/>
      <c r="G23" s="135"/>
      <c r="H23" s="135"/>
      <c r="I23" s="135"/>
      <c r="J23" s="311">
        <f t="shared" si="0"/>
        <v>2.2698006922186261E-2</v>
      </c>
      <c r="K23" s="135">
        <v>1</v>
      </c>
      <c r="L23" s="135" t="s">
        <v>10</v>
      </c>
      <c r="M23" s="136"/>
    </row>
    <row r="24" spans="1:13" x14ac:dyDescent="0.35">
      <c r="A24" s="139">
        <v>23</v>
      </c>
      <c r="B24" s="139">
        <v>46</v>
      </c>
      <c r="C24" s="139">
        <v>2.5</v>
      </c>
      <c r="D24" s="139">
        <v>6</v>
      </c>
      <c r="E24" s="139"/>
      <c r="F24" s="139"/>
      <c r="G24" s="139"/>
      <c r="H24" s="139"/>
      <c r="I24" s="139"/>
      <c r="J24" s="146">
        <f t="shared" si="0"/>
        <v>2.8274333882308137E-3</v>
      </c>
      <c r="K24" s="139"/>
      <c r="L24" s="139" t="s">
        <v>5</v>
      </c>
      <c r="M24" s="140"/>
    </row>
    <row r="25" spans="1:13" x14ac:dyDescent="0.35">
      <c r="A25" s="139">
        <v>24</v>
      </c>
      <c r="B25" s="141">
        <v>125</v>
      </c>
      <c r="C25" s="141">
        <v>11</v>
      </c>
      <c r="D25" s="149"/>
      <c r="E25" s="141">
        <v>18</v>
      </c>
      <c r="F25" s="141">
        <v>10</v>
      </c>
      <c r="G25" s="141"/>
      <c r="H25" s="141"/>
      <c r="I25" s="141"/>
      <c r="J25" s="310">
        <f t="shared" si="0"/>
        <v>3.3300882128051809E-2</v>
      </c>
      <c r="K25" s="141">
        <v>2</v>
      </c>
      <c r="L25" s="141" t="s">
        <v>12</v>
      </c>
      <c r="M25" s="142"/>
    </row>
    <row r="26" spans="1:13" x14ac:dyDescent="0.35">
      <c r="A26" s="139">
        <v>25</v>
      </c>
      <c r="B26" s="139">
        <v>46</v>
      </c>
      <c r="C26" s="139">
        <v>1.5</v>
      </c>
      <c r="D26" s="139">
        <v>5</v>
      </c>
      <c r="E26" s="139"/>
      <c r="F26" s="139"/>
      <c r="G26" s="139"/>
      <c r="H26" s="139"/>
      <c r="I26" s="139"/>
      <c r="J26" s="146">
        <f t="shared" si="0"/>
        <v>1.9634954084936209E-3</v>
      </c>
      <c r="K26" s="139"/>
      <c r="L26" s="139" t="s">
        <v>6</v>
      </c>
      <c r="M26" s="140"/>
    </row>
    <row r="27" spans="1:13" x14ac:dyDescent="0.35">
      <c r="A27" s="139">
        <v>26</v>
      </c>
      <c r="B27" s="139">
        <v>46</v>
      </c>
      <c r="C27" s="139">
        <v>1.5</v>
      </c>
      <c r="D27" s="139">
        <v>5</v>
      </c>
      <c r="E27" s="139"/>
      <c r="F27" s="139"/>
      <c r="G27" s="146"/>
      <c r="H27" s="139"/>
      <c r="I27" s="139"/>
      <c r="J27" s="146">
        <f t="shared" si="0"/>
        <v>1.9634954084936209E-3</v>
      </c>
      <c r="K27" s="139"/>
      <c r="L27" s="139" t="s">
        <v>75</v>
      </c>
      <c r="M27" s="140"/>
    </row>
    <row r="28" spans="1:13" x14ac:dyDescent="0.35">
      <c r="A28" s="139">
        <v>27</v>
      </c>
      <c r="B28" s="139">
        <v>46</v>
      </c>
      <c r="C28" s="139">
        <v>1.5</v>
      </c>
      <c r="D28" s="139">
        <v>5</v>
      </c>
      <c r="E28" s="139"/>
      <c r="F28" s="139"/>
      <c r="G28" s="146"/>
      <c r="H28" s="139"/>
      <c r="I28" s="139"/>
      <c r="J28" s="146">
        <f t="shared" si="0"/>
        <v>1.9634954084936209E-3</v>
      </c>
      <c r="K28" s="139"/>
      <c r="L28" s="139" t="s">
        <v>75</v>
      </c>
      <c r="M28" s="140"/>
    </row>
    <row r="29" spans="1:13" x14ac:dyDescent="0.35">
      <c r="A29" s="139">
        <v>28</v>
      </c>
      <c r="B29" s="139">
        <v>46</v>
      </c>
      <c r="C29" s="139">
        <v>1.5</v>
      </c>
      <c r="D29" s="139">
        <v>5</v>
      </c>
      <c r="E29" s="139"/>
      <c r="F29" s="139"/>
      <c r="G29" s="146"/>
      <c r="H29" s="139"/>
      <c r="I29" s="139"/>
      <c r="J29" s="146">
        <f t="shared" si="0"/>
        <v>1.9634954084936209E-3</v>
      </c>
      <c r="K29" s="139"/>
      <c r="L29" s="139" t="s">
        <v>75</v>
      </c>
      <c r="M29" s="140"/>
    </row>
    <row r="30" spans="1:13" x14ac:dyDescent="0.35">
      <c r="A30" s="139">
        <v>29</v>
      </c>
      <c r="B30" s="139">
        <v>46</v>
      </c>
      <c r="C30" s="139">
        <v>3</v>
      </c>
      <c r="D30" s="139">
        <v>5</v>
      </c>
      <c r="E30" s="139"/>
      <c r="F30" s="139"/>
      <c r="G30" s="139"/>
      <c r="H30" s="139"/>
      <c r="I30" s="139"/>
      <c r="J30" s="146">
        <f t="shared" si="0"/>
        <v>1.9634954084936209E-3</v>
      </c>
      <c r="K30" s="139"/>
      <c r="L30" s="139" t="s">
        <v>75</v>
      </c>
      <c r="M30" s="140"/>
    </row>
    <row r="31" spans="1:13" x14ac:dyDescent="0.35">
      <c r="A31" s="139">
        <v>30</v>
      </c>
      <c r="B31" s="139">
        <v>125</v>
      </c>
      <c r="C31" s="139">
        <v>3.5</v>
      </c>
      <c r="D31" s="139"/>
      <c r="E31" s="139">
        <v>5</v>
      </c>
      <c r="F31" s="139">
        <v>7</v>
      </c>
      <c r="G31" s="139"/>
      <c r="H31" s="139"/>
      <c r="I31" s="139"/>
      <c r="J31" s="146">
        <f t="shared" si="0"/>
        <v>5.8119464091411178E-3</v>
      </c>
      <c r="K31" s="139"/>
      <c r="L31" s="139" t="s">
        <v>6</v>
      </c>
      <c r="M31" s="140"/>
    </row>
    <row r="32" spans="1:13" x14ac:dyDescent="0.35">
      <c r="A32" s="139">
        <v>31</v>
      </c>
      <c r="B32" s="139">
        <v>125</v>
      </c>
      <c r="C32" s="139">
        <v>12</v>
      </c>
      <c r="D32" s="139">
        <v>21</v>
      </c>
      <c r="E32" s="139"/>
      <c r="F32" s="139"/>
      <c r="G32" s="139"/>
      <c r="H32" s="139"/>
      <c r="I32" s="139"/>
      <c r="J32" s="146">
        <f t="shared" ref="J32:J63" si="1">PI()*(((D32)/2)/100)^2+PI()*(((E32)/2)/100)^2+PI()*(((F32)/2)/100)^2+PI()*(((G32)/2)/100)^2+PI()*(((H32)/2)/100)^2+PI()*(((I32)/2)/100)^2</f>
        <v>3.4636059005827467E-2</v>
      </c>
      <c r="K32" s="139"/>
      <c r="L32" s="139" t="s">
        <v>12</v>
      </c>
      <c r="M32" s="140"/>
    </row>
    <row r="33" spans="1:13" x14ac:dyDescent="0.35">
      <c r="A33" s="139">
        <v>32</v>
      </c>
      <c r="B33" s="139">
        <v>125</v>
      </c>
      <c r="C33" s="139">
        <v>8</v>
      </c>
      <c r="D33" s="139"/>
      <c r="E33" s="139">
        <v>11</v>
      </c>
      <c r="F33" s="139">
        <v>14</v>
      </c>
      <c r="G33" s="139"/>
      <c r="H33" s="139"/>
      <c r="I33" s="139"/>
      <c r="J33" s="146">
        <f t="shared" si="1"/>
        <v>2.4897121779699112E-2</v>
      </c>
      <c r="K33" s="139"/>
      <c r="L33" s="139" t="s">
        <v>10</v>
      </c>
      <c r="M33" s="140"/>
    </row>
    <row r="34" spans="1:13" x14ac:dyDescent="0.35">
      <c r="A34" s="139">
        <v>33</v>
      </c>
      <c r="B34" s="139">
        <v>125</v>
      </c>
      <c r="C34" s="139">
        <v>10</v>
      </c>
      <c r="D34" s="139">
        <v>18</v>
      </c>
      <c r="E34" s="139"/>
      <c r="F34" s="139"/>
      <c r="G34" s="139"/>
      <c r="H34" s="139"/>
      <c r="I34" s="139"/>
      <c r="J34" s="146">
        <f t="shared" si="1"/>
        <v>2.5446900494077322E-2</v>
      </c>
      <c r="K34" s="139"/>
      <c r="L34" s="139" t="s">
        <v>13</v>
      </c>
      <c r="M34" s="140"/>
    </row>
    <row r="35" spans="1:13" x14ac:dyDescent="0.35">
      <c r="A35" s="139">
        <v>34</v>
      </c>
      <c r="B35" s="139">
        <v>125</v>
      </c>
      <c r="C35" s="139">
        <v>6</v>
      </c>
      <c r="D35" s="139"/>
      <c r="E35" s="139">
        <v>10</v>
      </c>
      <c r="F35" s="139">
        <v>4</v>
      </c>
      <c r="G35" s="139"/>
      <c r="H35" s="139"/>
      <c r="I35" s="139"/>
      <c r="J35" s="146">
        <f t="shared" si="1"/>
        <v>9.1106186954104003E-3</v>
      </c>
      <c r="K35" s="139"/>
      <c r="L35" s="139" t="s">
        <v>6</v>
      </c>
      <c r="M35" s="140"/>
    </row>
    <row r="36" spans="1:13" x14ac:dyDescent="0.35">
      <c r="A36" s="139">
        <v>35</v>
      </c>
      <c r="B36" s="139">
        <v>125</v>
      </c>
      <c r="C36" s="139">
        <v>8.5</v>
      </c>
      <c r="D36" s="139">
        <v>12</v>
      </c>
      <c r="E36" s="139"/>
      <c r="F36" s="139"/>
      <c r="G36" s="139"/>
      <c r="H36" s="139"/>
      <c r="I36" s="139"/>
      <c r="J36" s="146">
        <f t="shared" si="1"/>
        <v>1.1309733552923255E-2</v>
      </c>
      <c r="K36" s="139"/>
      <c r="L36" s="139" t="s">
        <v>6</v>
      </c>
      <c r="M36" s="140"/>
    </row>
    <row r="37" spans="1:13" x14ac:dyDescent="0.35">
      <c r="A37" s="139">
        <v>36</v>
      </c>
      <c r="B37" s="139">
        <v>125</v>
      </c>
      <c r="C37" s="139">
        <v>11</v>
      </c>
      <c r="D37" s="139"/>
      <c r="E37" s="139">
        <v>19</v>
      </c>
      <c r="F37" s="139">
        <v>7</v>
      </c>
      <c r="G37" s="139"/>
      <c r="H37" s="139"/>
      <c r="I37" s="139"/>
      <c r="J37" s="146">
        <f t="shared" si="1"/>
        <v>3.2201324699295382E-2</v>
      </c>
      <c r="K37" s="139"/>
      <c r="L37" s="139" t="s">
        <v>10</v>
      </c>
      <c r="M37" s="140"/>
    </row>
    <row r="38" spans="1:13" x14ac:dyDescent="0.35">
      <c r="A38" s="139">
        <v>37</v>
      </c>
      <c r="B38" s="139">
        <v>125</v>
      </c>
      <c r="C38" s="139">
        <v>11</v>
      </c>
      <c r="D38" s="139"/>
      <c r="E38" s="139">
        <v>17</v>
      </c>
      <c r="F38" s="139">
        <v>14</v>
      </c>
      <c r="G38" s="139"/>
      <c r="H38" s="139"/>
      <c r="I38" s="139"/>
      <c r="J38" s="146">
        <f t="shared" si="1"/>
        <v>3.8091810924776245E-2</v>
      </c>
      <c r="K38" s="139"/>
      <c r="L38" s="139" t="s">
        <v>10</v>
      </c>
      <c r="M38" s="140"/>
    </row>
    <row r="39" spans="1:13" x14ac:dyDescent="0.35">
      <c r="A39" s="139">
        <v>38</v>
      </c>
      <c r="B39" s="139">
        <v>46</v>
      </c>
      <c r="C39" s="139">
        <v>6</v>
      </c>
      <c r="D39" s="139"/>
      <c r="E39" s="139">
        <v>11</v>
      </c>
      <c r="F39" s="139">
        <v>14</v>
      </c>
      <c r="G39" s="139"/>
      <c r="H39" s="139"/>
      <c r="I39" s="139"/>
      <c r="J39" s="146">
        <f t="shared" si="1"/>
        <v>2.4897121779699112E-2</v>
      </c>
      <c r="K39" s="139"/>
      <c r="L39" s="139" t="s">
        <v>6</v>
      </c>
      <c r="M39" s="140"/>
    </row>
    <row r="40" spans="1:13" x14ac:dyDescent="0.35">
      <c r="A40" s="139">
        <v>39</v>
      </c>
      <c r="B40" s="135">
        <v>125</v>
      </c>
      <c r="C40" s="135">
        <v>11</v>
      </c>
      <c r="D40" s="135">
        <v>23</v>
      </c>
      <c r="E40" s="135"/>
      <c r="F40" s="135"/>
      <c r="G40" s="135"/>
      <c r="H40" s="135"/>
      <c r="I40" s="135"/>
      <c r="J40" s="311">
        <f t="shared" si="1"/>
        <v>4.1547562843725017E-2</v>
      </c>
      <c r="K40" s="135">
        <v>1</v>
      </c>
      <c r="L40" s="135" t="s">
        <v>12</v>
      </c>
      <c r="M40" s="136"/>
    </row>
    <row r="41" spans="1:13" x14ac:dyDescent="0.35">
      <c r="A41" s="139">
        <v>40</v>
      </c>
      <c r="B41" s="139">
        <v>46</v>
      </c>
      <c r="C41" s="139">
        <v>4</v>
      </c>
      <c r="D41" s="139"/>
      <c r="E41" s="139">
        <v>6</v>
      </c>
      <c r="F41" s="139">
        <v>7</v>
      </c>
      <c r="G41" s="139">
        <v>5</v>
      </c>
      <c r="H41" s="139"/>
      <c r="I41" s="139"/>
      <c r="J41" s="146">
        <f t="shared" si="1"/>
        <v>8.6393797973719315E-3</v>
      </c>
      <c r="K41" s="139"/>
      <c r="L41" s="139" t="s">
        <v>5</v>
      </c>
      <c r="M41" s="140"/>
    </row>
    <row r="42" spans="1:13" x14ac:dyDescent="0.35">
      <c r="A42" s="139">
        <v>41</v>
      </c>
      <c r="B42" s="143">
        <v>125</v>
      </c>
      <c r="C42" s="143">
        <v>9</v>
      </c>
      <c r="D42" s="143"/>
      <c r="E42" s="143">
        <v>16</v>
      </c>
      <c r="F42" s="143">
        <v>17</v>
      </c>
      <c r="G42" s="143">
        <v>11</v>
      </c>
      <c r="H42" s="143"/>
      <c r="I42" s="143"/>
      <c r="J42" s="309">
        <f t="shared" si="1"/>
        <v>5.2307517682270058E-2</v>
      </c>
      <c r="K42" s="143">
        <v>3</v>
      </c>
      <c r="L42" s="143" t="s">
        <v>13</v>
      </c>
      <c r="M42" s="144"/>
    </row>
    <row r="43" spans="1:13" x14ac:dyDescent="0.35">
      <c r="A43" s="139">
        <v>42</v>
      </c>
      <c r="B43" s="141">
        <v>125</v>
      </c>
      <c r="C43" s="141">
        <v>10</v>
      </c>
      <c r="D43" s="141"/>
      <c r="E43" s="141">
        <v>18</v>
      </c>
      <c r="F43" s="141">
        <v>19</v>
      </c>
      <c r="G43" s="141"/>
      <c r="H43" s="141"/>
      <c r="I43" s="141"/>
      <c r="J43" s="310">
        <f t="shared" si="1"/>
        <v>5.3799774192725205E-2</v>
      </c>
      <c r="K43" s="141">
        <v>2</v>
      </c>
      <c r="L43" s="141" t="s">
        <v>10</v>
      </c>
      <c r="M43" s="142"/>
    </row>
    <row r="44" spans="1:13" x14ac:dyDescent="0.35">
      <c r="A44" s="139">
        <v>43</v>
      </c>
      <c r="B44" s="139">
        <v>46</v>
      </c>
      <c r="C44" s="139">
        <v>3</v>
      </c>
      <c r="D44" s="139">
        <v>6</v>
      </c>
      <c r="E44" s="139"/>
      <c r="F44" s="139"/>
      <c r="G44" s="139"/>
      <c r="H44" s="139"/>
      <c r="I44" s="139"/>
      <c r="J44" s="146">
        <f t="shared" si="1"/>
        <v>2.8274333882308137E-3</v>
      </c>
      <c r="K44" s="139"/>
      <c r="L44" s="139" t="s">
        <v>6</v>
      </c>
      <c r="M44" s="140"/>
    </row>
    <row r="45" spans="1:13" x14ac:dyDescent="0.35">
      <c r="A45" s="139">
        <v>44</v>
      </c>
      <c r="B45" s="139">
        <v>125</v>
      </c>
      <c r="C45" s="139">
        <v>10.5</v>
      </c>
      <c r="D45" s="139">
        <v>19</v>
      </c>
      <c r="E45" s="139"/>
      <c r="F45" s="139"/>
      <c r="G45" s="139"/>
      <c r="H45" s="139"/>
      <c r="I45" s="139"/>
      <c r="J45" s="146">
        <f t="shared" si="1"/>
        <v>2.8352873698647883E-2</v>
      </c>
      <c r="K45" s="139"/>
      <c r="L45" s="139" t="s">
        <v>12</v>
      </c>
      <c r="M45" s="140"/>
    </row>
    <row r="46" spans="1:13" x14ac:dyDescent="0.35">
      <c r="A46" s="139">
        <v>45</v>
      </c>
      <c r="B46" s="141">
        <v>125</v>
      </c>
      <c r="C46" s="141">
        <v>10</v>
      </c>
      <c r="D46" s="141"/>
      <c r="E46" s="141">
        <v>16</v>
      </c>
      <c r="F46" s="141">
        <v>15</v>
      </c>
      <c r="G46" s="141"/>
      <c r="H46" s="141"/>
      <c r="I46" s="141"/>
      <c r="J46" s="310">
        <f t="shared" si="1"/>
        <v>3.7777651659417266E-2</v>
      </c>
      <c r="K46" s="141">
        <v>2</v>
      </c>
      <c r="L46" s="141" t="s">
        <v>10</v>
      </c>
      <c r="M46" s="142"/>
    </row>
    <row r="47" spans="1:13" x14ac:dyDescent="0.35">
      <c r="A47" s="139">
        <v>46</v>
      </c>
      <c r="B47" s="139">
        <v>125</v>
      </c>
      <c r="C47" s="139">
        <v>2</v>
      </c>
      <c r="D47" s="139">
        <v>7</v>
      </c>
      <c r="E47" s="139"/>
      <c r="F47" s="139"/>
      <c r="G47" s="139"/>
      <c r="H47" s="139"/>
      <c r="I47" s="139"/>
      <c r="J47" s="146">
        <f t="shared" si="1"/>
        <v>3.8484510006474969E-3</v>
      </c>
      <c r="K47" s="139"/>
      <c r="L47" s="139"/>
      <c r="M47" s="140" t="s">
        <v>16</v>
      </c>
    </row>
    <row r="48" spans="1:13" x14ac:dyDescent="0.35">
      <c r="A48" s="139">
        <v>47</v>
      </c>
      <c r="B48" s="139">
        <v>46</v>
      </c>
      <c r="C48" s="139">
        <v>4</v>
      </c>
      <c r="D48" s="139">
        <v>7</v>
      </c>
      <c r="E48" s="139"/>
      <c r="F48" s="139"/>
      <c r="G48" s="139"/>
      <c r="H48" s="139"/>
      <c r="I48" s="139"/>
      <c r="J48" s="146">
        <f t="shared" si="1"/>
        <v>3.8484510006474969E-3</v>
      </c>
      <c r="K48" s="139"/>
      <c r="L48" s="139" t="s">
        <v>5</v>
      </c>
      <c r="M48" s="140"/>
    </row>
    <row r="49" spans="1:13" x14ac:dyDescent="0.35">
      <c r="A49" s="139">
        <v>48</v>
      </c>
      <c r="B49" s="139">
        <v>46</v>
      </c>
      <c r="C49" s="139">
        <v>4</v>
      </c>
      <c r="D49" s="139">
        <v>7</v>
      </c>
      <c r="E49" s="139"/>
      <c r="F49" s="139"/>
      <c r="G49" s="146"/>
      <c r="H49" s="139"/>
      <c r="I49" s="139"/>
      <c r="J49" s="146">
        <f t="shared" si="1"/>
        <v>3.8484510006474969E-3</v>
      </c>
      <c r="K49" s="139"/>
      <c r="L49" s="139" t="s">
        <v>75</v>
      </c>
      <c r="M49" s="140"/>
    </row>
    <row r="50" spans="1:13" x14ac:dyDescent="0.35">
      <c r="A50" s="139">
        <v>49</v>
      </c>
      <c r="B50" s="139">
        <v>46</v>
      </c>
      <c r="C50" s="139">
        <v>4</v>
      </c>
      <c r="D50" s="139">
        <v>7</v>
      </c>
      <c r="E50" s="139"/>
      <c r="F50" s="139"/>
      <c r="G50" s="146"/>
      <c r="H50" s="139"/>
      <c r="I50" s="139"/>
      <c r="J50" s="146">
        <f t="shared" si="1"/>
        <v>3.8484510006474969E-3</v>
      </c>
      <c r="K50" s="139"/>
      <c r="L50" s="139" t="s">
        <v>75</v>
      </c>
      <c r="M50" s="140"/>
    </row>
    <row r="51" spans="1:13" x14ac:dyDescent="0.35">
      <c r="A51" s="139">
        <v>50</v>
      </c>
      <c r="B51" s="139">
        <v>46</v>
      </c>
      <c r="C51" s="139">
        <v>4</v>
      </c>
      <c r="D51" s="139">
        <v>7</v>
      </c>
      <c r="E51" s="139"/>
      <c r="F51" s="139"/>
      <c r="G51" s="146"/>
      <c r="H51" s="139"/>
      <c r="I51" s="139"/>
      <c r="J51" s="146">
        <f t="shared" si="1"/>
        <v>3.8484510006474969E-3</v>
      </c>
      <c r="K51" s="139"/>
      <c r="L51" s="139" t="s">
        <v>75</v>
      </c>
      <c r="M51" s="140"/>
    </row>
    <row r="52" spans="1:13" x14ac:dyDescent="0.35">
      <c r="A52" s="139">
        <v>51</v>
      </c>
      <c r="B52" s="139">
        <v>125</v>
      </c>
      <c r="C52" s="139">
        <v>10</v>
      </c>
      <c r="D52" s="139">
        <v>15</v>
      </c>
      <c r="E52" s="139"/>
      <c r="F52" s="139"/>
      <c r="G52" s="139"/>
      <c r="H52" s="139"/>
      <c r="I52" s="139"/>
      <c r="J52" s="146">
        <f t="shared" si="1"/>
        <v>1.7671458676442587E-2</v>
      </c>
      <c r="K52" s="139"/>
      <c r="L52" s="139" t="s">
        <v>13</v>
      </c>
      <c r="M52" s="140"/>
    </row>
    <row r="53" spans="1:13" x14ac:dyDescent="0.35">
      <c r="A53" s="139">
        <v>52</v>
      </c>
      <c r="B53" s="135">
        <v>125</v>
      </c>
      <c r="C53" s="135">
        <v>12</v>
      </c>
      <c r="D53" s="135">
        <v>21</v>
      </c>
      <c r="E53" s="135"/>
      <c r="F53" s="135"/>
      <c r="G53" s="135"/>
      <c r="H53" s="135"/>
      <c r="I53" s="135"/>
      <c r="J53" s="311">
        <f t="shared" si="1"/>
        <v>3.4636059005827467E-2</v>
      </c>
      <c r="K53" s="135">
        <v>1</v>
      </c>
      <c r="L53" s="135" t="s">
        <v>12</v>
      </c>
      <c r="M53" s="136"/>
    </row>
    <row r="54" spans="1:13" x14ac:dyDescent="0.35">
      <c r="A54" s="139">
        <v>53</v>
      </c>
      <c r="B54" s="141">
        <v>125</v>
      </c>
      <c r="C54" s="141">
        <v>12</v>
      </c>
      <c r="D54" s="141"/>
      <c r="E54" s="141">
        <v>21</v>
      </c>
      <c r="F54" s="141">
        <v>10</v>
      </c>
      <c r="G54" s="141"/>
      <c r="H54" s="141"/>
      <c r="I54" s="141"/>
      <c r="J54" s="310">
        <f t="shared" si="1"/>
        <v>4.2490040639801954E-2</v>
      </c>
      <c r="K54" s="141">
        <v>2</v>
      </c>
      <c r="L54" s="141" t="s">
        <v>10</v>
      </c>
      <c r="M54" s="142"/>
    </row>
    <row r="55" spans="1:13" x14ac:dyDescent="0.35">
      <c r="A55" s="139">
        <v>54</v>
      </c>
      <c r="B55" s="139">
        <v>46</v>
      </c>
      <c r="C55" s="139">
        <v>3</v>
      </c>
      <c r="D55" s="137">
        <v>5</v>
      </c>
      <c r="E55" s="139"/>
      <c r="F55" s="139"/>
      <c r="G55" s="139"/>
      <c r="H55" s="139"/>
      <c r="I55" s="139"/>
      <c r="J55" s="146">
        <f t="shared" si="1"/>
        <v>1.9634954084936209E-3</v>
      </c>
      <c r="K55" s="139"/>
      <c r="L55" s="139" t="s">
        <v>6</v>
      </c>
      <c r="M55" s="140"/>
    </row>
    <row r="56" spans="1:13" x14ac:dyDescent="0.35">
      <c r="A56" s="139">
        <v>55</v>
      </c>
      <c r="B56" s="139">
        <v>46</v>
      </c>
      <c r="C56" s="139">
        <v>3</v>
      </c>
      <c r="D56" s="137">
        <v>5</v>
      </c>
      <c r="E56" s="139"/>
      <c r="F56" s="139"/>
      <c r="G56" s="146"/>
      <c r="H56" s="139"/>
      <c r="I56" s="139"/>
      <c r="J56" s="146">
        <f t="shared" si="1"/>
        <v>1.9634954084936209E-3</v>
      </c>
      <c r="K56" s="139"/>
      <c r="L56" s="139"/>
      <c r="M56" s="140"/>
    </row>
    <row r="57" spans="1:13" x14ac:dyDescent="0.35">
      <c r="A57" s="139">
        <v>56</v>
      </c>
      <c r="B57" s="139">
        <v>46</v>
      </c>
      <c r="C57" s="139">
        <v>3</v>
      </c>
      <c r="D57" s="137">
        <v>5</v>
      </c>
      <c r="E57" s="139"/>
      <c r="F57" s="139"/>
      <c r="G57" s="146"/>
      <c r="H57" s="139"/>
      <c r="I57" s="139"/>
      <c r="J57" s="146">
        <f t="shared" si="1"/>
        <v>1.9634954084936209E-3</v>
      </c>
      <c r="K57" s="139"/>
      <c r="L57" s="139"/>
      <c r="M57" s="140"/>
    </row>
    <row r="58" spans="1:13" x14ac:dyDescent="0.35">
      <c r="A58" s="139">
        <v>57</v>
      </c>
      <c r="B58" s="139">
        <v>46</v>
      </c>
      <c r="C58" s="139">
        <v>3</v>
      </c>
      <c r="D58" s="137">
        <v>5</v>
      </c>
      <c r="E58" s="139"/>
      <c r="F58" s="139"/>
      <c r="G58" s="139"/>
      <c r="H58" s="139"/>
      <c r="I58" s="139"/>
      <c r="J58" s="146">
        <f t="shared" si="1"/>
        <v>1.9634954084936209E-3</v>
      </c>
      <c r="K58" s="139"/>
      <c r="L58" s="139" t="s">
        <v>6</v>
      </c>
      <c r="M58" s="140"/>
    </row>
    <row r="59" spans="1:13" x14ac:dyDescent="0.35">
      <c r="A59" s="139">
        <v>58</v>
      </c>
      <c r="B59" s="139">
        <v>125</v>
      </c>
      <c r="C59" s="139">
        <v>10</v>
      </c>
      <c r="D59" s="138"/>
      <c r="E59" s="139">
        <v>12</v>
      </c>
      <c r="F59" s="139">
        <v>33</v>
      </c>
      <c r="G59" s="139"/>
      <c r="H59" s="139"/>
      <c r="I59" s="139"/>
      <c r="J59" s="146">
        <f t="shared" si="1"/>
        <v>9.6839593546905384E-2</v>
      </c>
      <c r="K59" s="139"/>
      <c r="L59" s="139" t="s">
        <v>10</v>
      </c>
      <c r="M59" s="140"/>
    </row>
    <row r="60" spans="1:13" x14ac:dyDescent="0.35">
      <c r="A60" s="139">
        <v>59</v>
      </c>
      <c r="B60" s="135">
        <v>125</v>
      </c>
      <c r="C60" s="135">
        <v>12</v>
      </c>
      <c r="D60" s="135">
        <v>23</v>
      </c>
      <c r="E60" s="135"/>
      <c r="F60" s="135"/>
      <c r="G60" s="135"/>
      <c r="H60" s="135"/>
      <c r="I60" s="135"/>
      <c r="J60" s="311">
        <f t="shared" si="1"/>
        <v>4.1547562843725017E-2</v>
      </c>
      <c r="K60" s="135">
        <v>1</v>
      </c>
      <c r="L60" s="135" t="s">
        <v>10</v>
      </c>
      <c r="M60" s="136"/>
    </row>
    <row r="61" spans="1:13" x14ac:dyDescent="0.35">
      <c r="A61" s="139">
        <v>60</v>
      </c>
      <c r="B61" s="135">
        <v>125</v>
      </c>
      <c r="C61" s="135">
        <v>10</v>
      </c>
      <c r="D61" s="135">
        <v>21</v>
      </c>
      <c r="E61" s="135"/>
      <c r="F61" s="135"/>
      <c r="G61" s="135"/>
      <c r="H61" s="135"/>
      <c r="I61" s="135"/>
      <c r="J61" s="311">
        <f t="shared" si="1"/>
        <v>3.4636059005827467E-2</v>
      </c>
      <c r="K61" s="135">
        <v>1</v>
      </c>
      <c r="L61" s="135" t="s">
        <v>13</v>
      </c>
      <c r="M61" s="136"/>
    </row>
    <row r="62" spans="1:13" x14ac:dyDescent="0.35">
      <c r="A62" s="139">
        <v>61</v>
      </c>
      <c r="B62" s="139">
        <v>46</v>
      </c>
      <c r="C62" s="139">
        <v>3</v>
      </c>
      <c r="D62" s="139">
        <v>5</v>
      </c>
      <c r="E62" s="139"/>
      <c r="F62" s="139"/>
      <c r="G62" s="139"/>
      <c r="H62" s="139"/>
      <c r="I62" s="139"/>
      <c r="J62" s="146">
        <f t="shared" si="1"/>
        <v>1.9634954084936209E-3</v>
      </c>
      <c r="K62" s="139"/>
      <c r="L62" s="139" t="s">
        <v>6</v>
      </c>
      <c r="M62" s="140"/>
    </row>
    <row r="63" spans="1:13" x14ac:dyDescent="0.35">
      <c r="A63" s="139">
        <v>62</v>
      </c>
      <c r="B63" s="139">
        <v>46</v>
      </c>
      <c r="C63" s="139">
        <v>2.5</v>
      </c>
      <c r="D63" s="139">
        <v>6</v>
      </c>
      <c r="E63" s="139"/>
      <c r="F63" s="139"/>
      <c r="G63" s="139"/>
      <c r="H63" s="139"/>
      <c r="I63" s="139"/>
      <c r="J63" s="146">
        <f t="shared" si="1"/>
        <v>2.8274333882308137E-3</v>
      </c>
      <c r="K63" s="139"/>
      <c r="L63" s="139" t="s">
        <v>6</v>
      </c>
      <c r="M63" s="140"/>
    </row>
    <row r="64" spans="1:13" x14ac:dyDescent="0.35">
      <c r="A64" s="139">
        <v>63</v>
      </c>
      <c r="B64" s="139">
        <v>46</v>
      </c>
      <c r="C64" s="139">
        <v>2.5</v>
      </c>
      <c r="D64" s="139">
        <v>5</v>
      </c>
      <c r="E64" s="139"/>
      <c r="F64" s="139"/>
      <c r="G64" s="139"/>
      <c r="H64" s="139"/>
      <c r="I64" s="139"/>
      <c r="J64" s="146">
        <f t="shared" ref="J64" si="2">PI()*(((D64)/2)/100)^2+PI()*(((E64)/2)/100)^2+PI()*(((F64)/2)/100)^2+PI()*(((G64)/2)/100)^2+PI()*(((H64)/2)/100)^2+PI()*(((I64)/2)/100)^2</f>
        <v>1.9634954084936209E-3</v>
      </c>
      <c r="K64" s="139"/>
      <c r="L64" s="139" t="s">
        <v>6</v>
      </c>
      <c r="M64" s="140"/>
    </row>
    <row r="65" spans="1:13" x14ac:dyDescent="0.35">
      <c r="A65" s="139">
        <v>64</v>
      </c>
      <c r="B65" s="138"/>
      <c r="C65" s="138"/>
      <c r="D65" s="138"/>
      <c r="E65" s="138"/>
      <c r="F65" s="138"/>
      <c r="G65" s="241"/>
      <c r="H65" s="138"/>
      <c r="I65" s="139"/>
      <c r="J65" s="363">
        <f>PI()*(((D65)/2)/100)^2+PI()*(((E65)/2)/100)^2+PI()*(((F65)/2)/100)^2+PI()*(((G65)/2)/100)^2+PI()*(((H65)/2)/100)^2+PI()*(((I65)/2)/100)^2</f>
        <v>0</v>
      </c>
      <c r="K65" s="138"/>
      <c r="L65" s="138"/>
      <c r="M65" s="138"/>
    </row>
    <row r="66" spans="1:13" x14ac:dyDescent="0.35">
      <c r="A66" s="42">
        <f>SUBTOTAL(102,Tabla1[númer arboles])</f>
        <v>64</v>
      </c>
      <c r="B66" s="42" t="s">
        <v>17</v>
      </c>
      <c r="C66" s="145" t="e">
        <f ca="1">SUBTOTAL(101,Tabla1[altura])</f>
        <v>#DIV/0!</v>
      </c>
      <c r="D66" s="145">
        <f>SUBTOTAL(101,Tabla1[diámetro])</f>
        <v>11.081081081081081</v>
      </c>
      <c r="E66" s="145">
        <f>SUBTOTAL(101,Tabla1[Hermanado1])</f>
        <v>14.923076923076923</v>
      </c>
      <c r="F66" s="145">
        <f>SUBTOTAL(101,Tabla1[Hermanado2])</f>
        <v>11.807692307692308</v>
      </c>
      <c r="G66" s="145">
        <f>SUBTOTAL(101,Tabla1[Hermanado3])</f>
        <v>8.8000000000000007</v>
      </c>
      <c r="H66" s="42" t="e">
        <f>SUBTOTAL(101,Tabla1[Hermanado4])</f>
        <v>#DIV/0!</v>
      </c>
      <c r="I66" s="42"/>
      <c r="J66" s="145">
        <f>SUBTOTAL(101,Tabla1[AB m2])</f>
        <v>2.1793571849648894E-2</v>
      </c>
      <c r="K66" s="42">
        <f>SUBTOTAL(109,Tabla1[apeado])</f>
        <v>28</v>
      </c>
      <c r="L66" s="42"/>
      <c r="M66" s="41"/>
    </row>
    <row r="67" spans="1:13" x14ac:dyDescent="0.35">
      <c r="A67" s="42"/>
      <c r="B67" s="42"/>
      <c r="C67" s="145"/>
      <c r="D67" s="145"/>
      <c r="E67" s="145"/>
      <c r="F67" s="145"/>
      <c r="G67" s="145"/>
      <c r="H67" s="42"/>
      <c r="I67" s="42"/>
      <c r="J67" s="42"/>
      <c r="K67" s="42"/>
      <c r="L67" s="41"/>
    </row>
    <row r="68" spans="1:13" ht="58" x14ac:dyDescent="0.35">
      <c r="A68" s="247" t="s">
        <v>232</v>
      </c>
      <c r="B68" s="247" t="s">
        <v>216</v>
      </c>
      <c r="C68" s="285" t="s">
        <v>237</v>
      </c>
      <c r="D68" s="247" t="s">
        <v>218</v>
      </c>
      <c r="E68" s="247" t="s">
        <v>219</v>
      </c>
      <c r="F68" s="247" t="s">
        <v>230</v>
      </c>
      <c r="G68" s="247" t="s">
        <v>224</v>
      </c>
      <c r="H68" s="247" t="s">
        <v>226</v>
      </c>
      <c r="I68" s="247" t="s">
        <v>227</v>
      </c>
      <c r="J68" s="42" t="s">
        <v>236</v>
      </c>
      <c r="K68" s="42"/>
      <c r="L68" s="41"/>
    </row>
    <row r="69" spans="1:13" x14ac:dyDescent="0.35">
      <c r="A69" s="284">
        <v>125</v>
      </c>
      <c r="B69" s="247"/>
      <c r="C69" s="247"/>
      <c r="D69" s="247"/>
      <c r="E69" s="247"/>
      <c r="F69" s="247"/>
      <c r="G69" s="247"/>
      <c r="H69" s="247"/>
      <c r="I69" s="247"/>
      <c r="J69" s="42"/>
      <c r="K69" s="42"/>
      <c r="L69" s="41"/>
    </row>
    <row r="70" spans="1:13" x14ac:dyDescent="0.35">
      <c r="A70" s="3">
        <v>130</v>
      </c>
      <c r="B70" s="249" t="e">
        <f>Tabla8[[#Totals],[AB m2]]*C81/C80</f>
        <v>#VALUE!</v>
      </c>
      <c r="C70" s="248">
        <v>37</v>
      </c>
      <c r="D70" s="248">
        <f>25*25/10000</f>
        <v>6.25E-2</v>
      </c>
      <c r="E70" s="248">
        <f>C70/D70</f>
        <v>592</v>
      </c>
      <c r="F70" s="248">
        <f>COUNT(Tabla8[[diámetro]:[Hermanado5]])</f>
        <v>66</v>
      </c>
      <c r="G70" s="248"/>
      <c r="H70" s="249">
        <f>($C$99*$E$99+$C$100*$E$100+$C$101*$E$101+$C$102*$E$102+$C$103*$E$103+$C$104*$E$104+$C$105*$E$105+$C$106*$E$106)/$E$107</f>
        <v>11.914893617021276</v>
      </c>
      <c r="I70" s="250">
        <f>SQRT(($C$99^2*$E$99+$C$100^2*$E$100+$C$101^2*$E$101+$C$102^2*$E$102+$C$103^2*$E$103+$C$104^2*$E$104+$C$105^2*$E$105+$C$106^2*$E$106)/$E$107)</f>
        <v>13.702771889176601</v>
      </c>
    </row>
    <row r="71" spans="1:13" x14ac:dyDescent="0.35">
      <c r="A71" s="3">
        <v>112</v>
      </c>
      <c r="B71" s="2" t="s">
        <v>217</v>
      </c>
      <c r="C71" s="2"/>
      <c r="D71" s="2"/>
      <c r="E71" s="2"/>
      <c r="F71" s="2"/>
      <c r="G71" s="2"/>
      <c r="H71" s="2"/>
      <c r="I71" s="2"/>
    </row>
    <row r="72" spans="1:13" x14ac:dyDescent="0.35">
      <c r="A72" s="3">
        <v>46</v>
      </c>
      <c r="B72" s="2"/>
      <c r="C72" s="2"/>
      <c r="D72" s="2"/>
      <c r="E72" s="2"/>
      <c r="F72" s="2"/>
      <c r="G72" s="2"/>
      <c r="H72" s="2"/>
      <c r="I72" s="2"/>
    </row>
    <row r="73" spans="1:13" x14ac:dyDescent="0.35">
      <c r="A73" s="3">
        <v>43</v>
      </c>
      <c r="B73" s="2"/>
      <c r="C73" s="2"/>
      <c r="D73" s="2"/>
      <c r="E73" s="2"/>
      <c r="F73" s="2"/>
      <c r="G73" s="2"/>
      <c r="H73" s="2"/>
      <c r="I73" s="2"/>
    </row>
    <row r="74" spans="1:13" x14ac:dyDescent="0.35">
      <c r="A74" s="3">
        <v>23</v>
      </c>
      <c r="B74" s="4"/>
      <c r="C74" s="4"/>
      <c r="D74" s="4"/>
      <c r="E74" s="4"/>
      <c r="F74" s="4"/>
      <c r="G74" s="4"/>
      <c r="H74" s="4"/>
      <c r="I74" s="4"/>
    </row>
    <row r="75" spans="1:13" x14ac:dyDescent="0.35">
      <c r="A75" s="7"/>
      <c r="B75" s="33"/>
      <c r="C75" s="33"/>
      <c r="D75" s="33"/>
      <c r="E75" s="33"/>
      <c r="F75" s="33"/>
      <c r="G75" s="33"/>
      <c r="H75" s="33"/>
      <c r="I75" s="33"/>
    </row>
    <row r="76" spans="1:13" ht="15" thickBot="1" x14ac:dyDescent="0.4">
      <c r="A76" s="19" t="s">
        <v>63</v>
      </c>
    </row>
    <row r="77" spans="1:13" ht="15" thickBot="1" x14ac:dyDescent="0.4">
      <c r="A77" s="365" t="s">
        <v>243</v>
      </c>
      <c r="B77" s="366"/>
      <c r="C77" s="366"/>
      <c r="D77" s="366"/>
      <c r="E77" s="366"/>
      <c r="F77" s="366"/>
      <c r="G77" s="366"/>
      <c r="H77" s="366"/>
      <c r="I77" s="366"/>
      <c r="J77" s="367"/>
    </row>
    <row r="78" spans="1:13" ht="15" thickBot="1" x14ac:dyDescent="0.4"/>
    <row r="79" spans="1:13" ht="15" thickBot="1" x14ac:dyDescent="0.4">
      <c r="A79" t="s">
        <v>128</v>
      </c>
      <c r="B79">
        <f>COUNT(Tabla1[[diámetro]:[Hermanado5]])</f>
        <v>94</v>
      </c>
      <c r="C79">
        <f>25*25</f>
        <v>625</v>
      </c>
      <c r="E79" s="55" t="s">
        <v>29</v>
      </c>
      <c r="F79" s="56"/>
      <c r="G79" s="29" t="s">
        <v>65</v>
      </c>
      <c r="H79" s="30"/>
      <c r="I79" s="28" t="s">
        <v>4</v>
      </c>
      <c r="J79" s="30"/>
    </row>
    <row r="80" spans="1:13" ht="15" thickBot="1" x14ac:dyDescent="0.4">
      <c r="B80">
        <f>B79*C80/C79</f>
        <v>1504</v>
      </c>
      <c r="C80">
        <v>10000</v>
      </c>
      <c r="E80" s="52" t="s">
        <v>30</v>
      </c>
      <c r="F80" s="53" t="s">
        <v>31</v>
      </c>
      <c r="G80" s="43">
        <v>125</v>
      </c>
      <c r="H80" s="21" t="s">
        <v>23</v>
      </c>
      <c r="I80" s="13" t="s">
        <v>6</v>
      </c>
      <c r="J80" s="14" t="s">
        <v>58</v>
      </c>
    </row>
    <row r="81" spans="1:10" ht="21.5" thickBot="1" x14ac:dyDescent="0.55000000000000004">
      <c r="A81" s="27" t="s">
        <v>70</v>
      </c>
      <c r="B81" s="49" t="s">
        <v>28</v>
      </c>
      <c r="C81" s="10" t="s">
        <v>52</v>
      </c>
      <c r="D81" s="51" t="s">
        <v>147</v>
      </c>
      <c r="E81" s="48" t="s">
        <v>32</v>
      </c>
      <c r="F81" s="46" t="s">
        <v>33</v>
      </c>
      <c r="G81" s="44">
        <v>130</v>
      </c>
      <c r="H81" s="23" t="s">
        <v>25</v>
      </c>
      <c r="I81" s="15" t="s">
        <v>5</v>
      </c>
      <c r="J81" s="16" t="s">
        <v>59</v>
      </c>
    </row>
    <row r="82" spans="1:10" ht="15" thickBot="1" x14ac:dyDescent="0.4">
      <c r="A82" s="10"/>
      <c r="B82" s="12">
        <v>2</v>
      </c>
      <c r="C82" s="12">
        <v>1</v>
      </c>
      <c r="D82" s="12">
        <f>B80</f>
        <v>1504</v>
      </c>
      <c r="E82" s="48" t="s">
        <v>34</v>
      </c>
      <c r="F82" s="46" t="s">
        <v>35</v>
      </c>
      <c r="G82" s="44">
        <v>46</v>
      </c>
      <c r="H82" s="23" t="s">
        <v>26</v>
      </c>
      <c r="I82" s="15" t="s">
        <v>13</v>
      </c>
      <c r="J82" s="16" t="s">
        <v>60</v>
      </c>
    </row>
    <row r="83" spans="1:10" x14ac:dyDescent="0.35">
      <c r="E83" s="45" t="s">
        <v>36</v>
      </c>
      <c r="F83" s="58" t="s">
        <v>37</v>
      </c>
      <c r="G83" s="44">
        <v>43</v>
      </c>
      <c r="H83" s="23" t="s">
        <v>27</v>
      </c>
      <c r="I83" s="15" t="s">
        <v>10</v>
      </c>
      <c r="J83" s="16" t="s">
        <v>61</v>
      </c>
    </row>
    <row r="84" spans="1:10" ht="15" thickBot="1" x14ac:dyDescent="0.4">
      <c r="E84" s="45" t="s">
        <v>16</v>
      </c>
      <c r="F84" s="46" t="s">
        <v>38</v>
      </c>
      <c r="G84" s="44">
        <v>23</v>
      </c>
      <c r="H84" s="23" t="s">
        <v>22</v>
      </c>
      <c r="I84" s="17" t="s">
        <v>12</v>
      </c>
      <c r="J84" s="18" t="s">
        <v>62</v>
      </c>
    </row>
    <row r="85" spans="1:10" x14ac:dyDescent="0.35">
      <c r="E85" s="45" t="s">
        <v>39</v>
      </c>
      <c r="F85" s="46" t="s">
        <v>40</v>
      </c>
      <c r="G85" s="44">
        <v>73</v>
      </c>
      <c r="H85" s="23" t="s">
        <v>24</v>
      </c>
    </row>
    <row r="86" spans="1:10" x14ac:dyDescent="0.35">
      <c r="E86" s="45" t="s">
        <v>41</v>
      </c>
      <c r="F86" s="46" t="s">
        <v>42</v>
      </c>
      <c r="G86" s="44">
        <v>87</v>
      </c>
      <c r="H86" s="23" t="s">
        <v>47</v>
      </c>
    </row>
    <row r="87" spans="1:10" x14ac:dyDescent="0.35">
      <c r="E87" s="45" t="s">
        <v>43</v>
      </c>
      <c r="F87" s="46" t="s">
        <v>44</v>
      </c>
      <c r="G87" s="44">
        <v>3</v>
      </c>
      <c r="H87" s="23" t="s">
        <v>48</v>
      </c>
    </row>
    <row r="88" spans="1:10" x14ac:dyDescent="0.35">
      <c r="E88" s="45" t="s">
        <v>45</v>
      </c>
      <c r="F88" s="47" t="s">
        <v>46</v>
      </c>
      <c r="G88" s="44">
        <v>82</v>
      </c>
      <c r="H88" s="23" t="s">
        <v>50</v>
      </c>
    </row>
    <row r="89" spans="1:10" x14ac:dyDescent="0.35">
      <c r="G89" s="22">
        <v>83</v>
      </c>
      <c r="H89" s="23" t="s">
        <v>49</v>
      </c>
    </row>
    <row r="90" spans="1:10" x14ac:dyDescent="0.35">
      <c r="G90" s="22">
        <v>42</v>
      </c>
      <c r="H90" s="23" t="s">
        <v>51</v>
      </c>
    </row>
    <row r="91" spans="1:10" x14ac:dyDescent="0.35">
      <c r="G91" s="22">
        <v>112</v>
      </c>
      <c r="H91" s="23" t="s">
        <v>66</v>
      </c>
    </row>
    <row r="92" spans="1:10" ht="15" thickBot="1" x14ac:dyDescent="0.4">
      <c r="G92" s="25">
        <v>113</v>
      </c>
      <c r="H92" s="26" t="s">
        <v>67</v>
      </c>
    </row>
    <row r="98" spans="1:10" ht="29" x14ac:dyDescent="0.35">
      <c r="A98" s="271" t="s">
        <v>228</v>
      </c>
      <c r="B98" s="271" t="s">
        <v>206</v>
      </c>
      <c r="C98" s="271" t="s">
        <v>229</v>
      </c>
      <c r="D98" s="271" t="s">
        <v>142</v>
      </c>
      <c r="E98" s="271" t="s">
        <v>147</v>
      </c>
      <c r="F98" s="271" t="s">
        <v>225</v>
      </c>
      <c r="G98" s="271" t="s">
        <v>207</v>
      </c>
      <c r="H98" s="271" t="s">
        <v>231</v>
      </c>
      <c r="I98" s="271" t="s">
        <v>213</v>
      </c>
      <c r="J98" s="272" t="s">
        <v>215</v>
      </c>
    </row>
    <row r="99" spans="1:10" x14ac:dyDescent="0.35">
      <c r="A99" s="245" t="s">
        <v>212</v>
      </c>
      <c r="B99" s="269">
        <f>COUNTIF($D$1:$I$65,"&gt;=2,5")-COUNTIF($D$1:$I$65,"&gt;7,4")</f>
        <v>37</v>
      </c>
      <c r="C99" s="269">
        <v>5</v>
      </c>
      <c r="D99" s="269"/>
      <c r="E99" s="269">
        <f>(B99*10000)/625</f>
        <v>592</v>
      </c>
      <c r="F99" s="270">
        <f>(PI()/4)*(C99/100)^2</f>
        <v>1.9634954084936209E-3</v>
      </c>
      <c r="G99" s="270">
        <f>E99*F99</f>
        <v>1.1623892818282235</v>
      </c>
      <c r="H99" s="269"/>
      <c r="I99" s="269"/>
      <c r="J99" s="269"/>
    </row>
    <row r="100" spans="1:10" x14ac:dyDescent="0.35">
      <c r="A100" s="246" t="s">
        <v>211</v>
      </c>
      <c r="B100" s="257">
        <f>COUNTIF($D$1:$I$65,"&gt;=7,5")-COUNTIF($D$1:$I$65,"&gt;12,4")</f>
        <v>13</v>
      </c>
      <c r="C100" s="257">
        <v>10</v>
      </c>
      <c r="D100" s="257"/>
      <c r="E100" s="257">
        <f t="shared" ref="E100:E106" si="3">(B100*10000)/625</f>
        <v>208</v>
      </c>
      <c r="F100" s="258">
        <f t="shared" ref="F100:F106" si="4">(PI()/4)*(C100/100)^2</f>
        <v>7.8539816339744835E-3</v>
      </c>
      <c r="G100" s="258">
        <f t="shared" ref="G100:G106" si="5">E100*F100</f>
        <v>1.6336281798666925</v>
      </c>
      <c r="H100" s="257"/>
      <c r="I100" s="257"/>
      <c r="J100" s="257"/>
    </row>
    <row r="101" spans="1:10" x14ac:dyDescent="0.35">
      <c r="A101" s="245" t="s">
        <v>209</v>
      </c>
      <c r="B101" s="269">
        <f>COUNTIF($D$1:$I$65,"&gt;=12,5")-COUNTIF($D$1:$I$65,"&gt;17,4")</f>
        <v>21</v>
      </c>
      <c r="C101" s="269">
        <v>15</v>
      </c>
      <c r="D101" s="269"/>
      <c r="E101" s="269">
        <f t="shared" si="3"/>
        <v>336</v>
      </c>
      <c r="F101" s="270">
        <f t="shared" si="4"/>
        <v>1.7671458676442587E-2</v>
      </c>
      <c r="G101" s="270">
        <f t="shared" si="5"/>
        <v>5.9376101152847092</v>
      </c>
      <c r="H101" s="269"/>
      <c r="I101" s="269"/>
      <c r="J101" s="269"/>
    </row>
    <row r="102" spans="1:10" x14ac:dyDescent="0.35">
      <c r="A102" s="246" t="s">
        <v>208</v>
      </c>
      <c r="B102" s="257">
        <f>COUNTIF($D$1:$I$65,"&gt;=17,5")-COUNTIF($D$1:$I$65,"&gt;22,4")</f>
        <v>19</v>
      </c>
      <c r="C102" s="257">
        <v>20</v>
      </c>
      <c r="D102" s="257"/>
      <c r="E102" s="257">
        <f t="shared" si="3"/>
        <v>304</v>
      </c>
      <c r="F102" s="258">
        <f t="shared" si="4"/>
        <v>3.1415926535897934E-2</v>
      </c>
      <c r="G102" s="258">
        <f t="shared" si="5"/>
        <v>9.5504416669129721</v>
      </c>
      <c r="H102" s="257"/>
      <c r="I102" s="257"/>
      <c r="J102" s="257"/>
    </row>
    <row r="103" spans="1:10" x14ac:dyDescent="0.35">
      <c r="A103" s="245" t="s">
        <v>210</v>
      </c>
      <c r="B103" s="269">
        <f>COUNTIF($D$1:$I$65,"&gt;=22,5")-COUNTIF($D$1:$I$65,"&gt;27,4")</f>
        <v>3</v>
      </c>
      <c r="C103" s="269">
        <v>25</v>
      </c>
      <c r="D103" s="269"/>
      <c r="E103" s="269">
        <f t="shared" si="3"/>
        <v>48</v>
      </c>
      <c r="F103" s="270">
        <f t="shared" si="4"/>
        <v>4.9087385212340517E-2</v>
      </c>
      <c r="G103" s="270">
        <f t="shared" si="5"/>
        <v>2.3561944901923448</v>
      </c>
      <c r="H103" s="269"/>
      <c r="I103" s="269"/>
      <c r="J103" s="269"/>
    </row>
    <row r="104" spans="1:10" x14ac:dyDescent="0.35">
      <c r="A104" s="246" t="s">
        <v>221</v>
      </c>
      <c r="B104" s="257">
        <f>COUNTIF($D$1:$I$65,"&gt;=27,5")-COUNTIF($D$1:$I$65,"&gt;32,4")</f>
        <v>0</v>
      </c>
      <c r="C104" s="257">
        <v>30</v>
      </c>
      <c r="D104" s="257"/>
      <c r="E104" s="257">
        <f t="shared" si="3"/>
        <v>0</v>
      </c>
      <c r="F104" s="258">
        <f t="shared" si="4"/>
        <v>7.0685834705770348E-2</v>
      </c>
      <c r="G104" s="258">
        <f t="shared" si="5"/>
        <v>0</v>
      </c>
      <c r="H104" s="257"/>
      <c r="I104" s="257"/>
      <c r="J104" s="257"/>
    </row>
    <row r="105" spans="1:10" x14ac:dyDescent="0.35">
      <c r="A105" s="245" t="s">
        <v>222</v>
      </c>
      <c r="B105" s="269">
        <f>COUNTIF($D$1:$I$65,"&gt;=32,5")-COUNTIF($D$1:$I$65,"&gt;37,4")</f>
        <v>1</v>
      </c>
      <c r="C105" s="269">
        <v>35</v>
      </c>
      <c r="D105" s="269"/>
      <c r="E105" s="269">
        <f t="shared" si="3"/>
        <v>16</v>
      </c>
      <c r="F105" s="270">
        <f t="shared" si="4"/>
        <v>9.6211275016187398E-2</v>
      </c>
      <c r="G105" s="270">
        <f t="shared" si="5"/>
        <v>1.5393804002589984</v>
      </c>
      <c r="H105" s="269"/>
      <c r="I105" s="269"/>
      <c r="J105" s="269"/>
    </row>
    <row r="106" spans="1:10" x14ac:dyDescent="0.35">
      <c r="A106" s="246" t="s">
        <v>223</v>
      </c>
      <c r="B106" s="257">
        <f>COUNTIF($D$1:$I$65,"&gt;=37,5")-COUNTIF($D$1:$I$65,"&gt;42,4")</f>
        <v>0</v>
      </c>
      <c r="C106" s="257">
        <v>40</v>
      </c>
      <c r="D106" s="257"/>
      <c r="E106" s="257">
        <f t="shared" si="3"/>
        <v>0</v>
      </c>
      <c r="F106" s="258">
        <f t="shared" si="4"/>
        <v>0.12566370614359174</v>
      </c>
      <c r="G106" s="258">
        <f t="shared" si="5"/>
        <v>0</v>
      </c>
      <c r="H106" s="257"/>
      <c r="I106" s="257"/>
      <c r="J106" s="257"/>
    </row>
    <row r="107" spans="1:10" x14ac:dyDescent="0.35">
      <c r="A107" s="123" t="s">
        <v>146</v>
      </c>
      <c r="B107" s="123">
        <f>SUBTOTAL(109,Tabla26[NÚMERO DE PIES])</f>
        <v>94</v>
      </c>
      <c r="C107" s="123">
        <f>SUBTOTAL(103,Tabla26[CLASE DIAMETRICA])</f>
        <v>8</v>
      </c>
      <c r="D107" s="123"/>
      <c r="E107" s="123">
        <f>SUBTOTAL(109,Tabla26[pies/ha])</f>
        <v>1504</v>
      </c>
      <c r="F107" s="273">
        <f>SUBTOTAL(101,Tabla26[gn (m2)])</f>
        <v>5.0069132916587329E-2</v>
      </c>
      <c r="G107" s="273">
        <f>SUBTOTAL(109,Tabla26[G (m2/ha.)])</f>
        <v>22.179644134343938</v>
      </c>
      <c r="H107" s="123"/>
      <c r="J107">
        <f>SUBTOTAL(109,Tabla26[AB (m2) final])</f>
        <v>0</v>
      </c>
    </row>
  </sheetData>
  <mergeCells count="1">
    <mergeCell ref="A77:J77"/>
  </mergeCells>
  <pageMargins left="0.7" right="0.7" top="0.75" bottom="0.75" header="0.3" footer="0.3"/>
  <pageSetup paperSize="9" scale="42" orientation="portrait" r:id="rId1"/>
  <headerFooter>
    <oddHeader>&amp;C&amp;14Parcela &amp;"-,Negrita"&amp;K04+000A1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80" zoomScaleSheetLayoutView="100" workbookViewId="0">
      <selection activeCell="I5" sqref="I5"/>
    </sheetView>
  </sheetViews>
  <sheetFormatPr baseColWidth="10" defaultColWidth="8.7265625" defaultRowHeight="14.5" x14ac:dyDescent="0.35"/>
  <cols>
    <col min="1" max="1" width="11.26953125" customWidth="1"/>
    <col min="3" max="3" width="10.54296875" customWidth="1"/>
    <col min="4" max="6" width="13.7265625" customWidth="1"/>
    <col min="7" max="7" width="15.90625" customWidth="1"/>
    <col min="8" max="8" width="9.08984375" customWidth="1"/>
  </cols>
  <sheetData>
    <row r="1" spans="1:9" x14ac:dyDescent="0.35">
      <c r="A1" t="s">
        <v>139</v>
      </c>
    </row>
    <row r="2" spans="1:9" x14ac:dyDescent="0.35">
      <c r="A2">
        <f>'A1'!B80+'A2'!B83+'A3'!B83+'A4'!B82+'A5'!B83+'A6'!B81+'B1'!B82+'B2'!B81+'B3'!B69+'B4'!B68+'B5'!B81+'B6'!B62+'C1'!B47+'C2'!B60+'C3'!B72+'C4'!B72+'C5'!B46+'C6'!B68</f>
        <v>19584</v>
      </c>
      <c r="B2">
        <f>A2/18</f>
        <v>1088</v>
      </c>
      <c r="C2">
        <f>B2*40%*1.5</f>
        <v>652.80000000000007</v>
      </c>
      <c r="D2">
        <v>400</v>
      </c>
      <c r="E2">
        <f>C2-D2</f>
        <v>252.80000000000007</v>
      </c>
      <c r="F2">
        <f>E2*6</f>
        <v>1516.8000000000004</v>
      </c>
    </row>
    <row r="3" spans="1:9" ht="15" thickBot="1" x14ac:dyDescent="0.4">
      <c r="C3">
        <f>B2*60%*1.5</f>
        <v>979.19999999999993</v>
      </c>
      <c r="D3">
        <v>600</v>
      </c>
      <c r="E3">
        <f>C3-D3</f>
        <v>379.19999999999993</v>
      </c>
      <c r="F3">
        <f>E3*6</f>
        <v>2275.1999999999998</v>
      </c>
    </row>
    <row r="4" spans="1:9" ht="15" thickBot="1" x14ac:dyDescent="0.4">
      <c r="A4" t="s">
        <v>142</v>
      </c>
      <c r="B4" s="39" t="s">
        <v>2</v>
      </c>
      <c r="C4" s="39" t="s">
        <v>3</v>
      </c>
      <c r="D4" s="39" t="s">
        <v>8</v>
      </c>
      <c r="E4" s="39" t="s">
        <v>7</v>
      </c>
      <c r="F4" s="39" t="s">
        <v>141</v>
      </c>
      <c r="G4" s="39" t="s">
        <v>9</v>
      </c>
      <c r="H4" s="39" t="s">
        <v>195</v>
      </c>
      <c r="I4" s="39" t="s">
        <v>143</v>
      </c>
    </row>
    <row r="5" spans="1:9" x14ac:dyDescent="0.35">
      <c r="A5" t="s">
        <v>70</v>
      </c>
      <c r="B5" s="76" t="e">
        <f ca="1">Tabla1[[#Totals],[altura]]</f>
        <v>#DIV/0!</v>
      </c>
      <c r="C5" s="76">
        <f>Tabla1[[#Totals],[diámetro]]</f>
        <v>11.081081081081081</v>
      </c>
      <c r="D5" s="76">
        <f>Tabla1[[#Totals],[Hermanado1]]</f>
        <v>14.923076923076923</v>
      </c>
      <c r="E5" s="76">
        <f>Tabla1[[#Totals],[Hermanado2]]</f>
        <v>11.807692307692308</v>
      </c>
      <c r="F5" s="76">
        <f>Tabla1[[#Totals],[Hermanado3]]</f>
        <v>8.8000000000000007</v>
      </c>
      <c r="G5" s="76" t="e">
        <f>Tabla1[[#Totals],[Hermanado4]]</f>
        <v>#DIV/0!</v>
      </c>
      <c r="H5" s="76">
        <f>Tabla1[[#Totals],[apeado]]</f>
        <v>28</v>
      </c>
      <c r="I5" s="76">
        <f>Tabla1[[#Totals],[apeado]]</f>
        <v>28</v>
      </c>
    </row>
    <row r="6" spans="1:9" x14ac:dyDescent="0.35">
      <c r="A6" t="s">
        <v>79</v>
      </c>
      <c r="B6" s="76">
        <f>'A2'!C69</f>
        <v>0</v>
      </c>
      <c r="C6" s="76">
        <f>'A2'!D69</f>
        <v>0</v>
      </c>
      <c r="D6" s="76">
        <f>'A2'!E69</f>
        <v>0</v>
      </c>
      <c r="E6" s="76">
        <f>'A2'!F69</f>
        <v>0</v>
      </c>
      <c r="F6" s="76">
        <f>'A2'!G69</f>
        <v>0</v>
      </c>
      <c r="G6" s="76">
        <f>'A2'!H69</f>
        <v>0</v>
      </c>
      <c r="H6" s="76">
        <f>'A2'!I69</f>
        <v>0</v>
      </c>
      <c r="I6" s="76">
        <f>'A2'!I69</f>
        <v>0</v>
      </c>
    </row>
    <row r="7" spans="1:9" x14ac:dyDescent="0.35">
      <c r="A7" t="s">
        <v>89</v>
      </c>
      <c r="B7" s="76">
        <f>Tabla6[[#Totals],[altura]]</f>
        <v>7.0232558139534884</v>
      </c>
      <c r="C7" s="76">
        <f>Tabla6[[#Totals],[diámetro]]</f>
        <v>13.407407407407407</v>
      </c>
      <c r="D7" s="76">
        <f>Tabla6[[#Totals],[Hermanado1]]</f>
        <v>14.882352941176471</v>
      </c>
      <c r="E7" s="76">
        <f>Tabla6[[#Totals],[Hermanado2]]</f>
        <v>16.1875</v>
      </c>
      <c r="F7" s="76">
        <f>Tabla6[[#Totals],[Hermanado3]]</f>
        <v>11.333333333333334</v>
      </c>
      <c r="G7" s="76" t="e">
        <f>Tabla6[[#Totals],[Hermanado4]]</f>
        <v>#DIV/0!</v>
      </c>
      <c r="H7" s="76" t="e">
        <f>Tabla6[[#Totals],[Hermanado5]]</f>
        <v>#DIV/0!</v>
      </c>
      <c r="I7" s="76">
        <f>Tabla6[[#Totals],[apeados]]</f>
        <v>14</v>
      </c>
    </row>
    <row r="8" spans="1:9" x14ac:dyDescent="0.35">
      <c r="A8" t="s">
        <v>111</v>
      </c>
      <c r="B8" s="76">
        <f>Tabla7[[#Totals],[altura]]</f>
        <v>7.6888888888888891</v>
      </c>
      <c r="C8" s="76">
        <f>Tabla7[[#Totals],[diámetro]]</f>
        <v>17.125</v>
      </c>
      <c r="D8" s="76">
        <f>Tabla7[[#Totals],[Hermanado1]]</f>
        <v>13.615384615384615</v>
      </c>
      <c r="E8" s="76">
        <f>Tabla7[[#Totals],[Hermanado2]]</f>
        <v>14.692307692307692</v>
      </c>
      <c r="F8" s="76">
        <f>Tabla7[[#Totals],[Hermanado3]]</f>
        <v>21</v>
      </c>
      <c r="G8" s="76" t="e">
        <f>Tabla7[[#Totals],[Hermanado4]]</f>
        <v>#DIV/0!</v>
      </c>
      <c r="H8" s="76">
        <f>Tabla7[[#Totals],[Hermanado5]]</f>
        <v>0</v>
      </c>
      <c r="I8" s="76">
        <f>Tabla7[[#Totals],[apeado]]</f>
        <v>20</v>
      </c>
    </row>
    <row r="9" spans="1:9" x14ac:dyDescent="0.35">
      <c r="A9" t="s">
        <v>117</v>
      </c>
      <c r="B9" s="76">
        <f>Tabla18[[#Totals],[altura]]</f>
        <v>6.6355932203389827</v>
      </c>
      <c r="C9" s="76">
        <f>Tabla18[[#Totals],[diámetro]]</f>
        <v>14.041666666666666</v>
      </c>
      <c r="D9" s="76">
        <f>Tabla18[[#Totals],[Hermanado1]]</f>
        <v>15.714285714285714</v>
      </c>
      <c r="E9" s="76">
        <f>Tabla18[[#Totals],[Hermanado2]]</f>
        <v>11.181818181818182</v>
      </c>
      <c r="F9" s="76">
        <f>Tabla18[[#Totals],[Hermanado3]]</f>
        <v>9.75</v>
      </c>
      <c r="G9" s="76">
        <f>Tabla18[[#Totals],[Hermanado4]]</f>
        <v>5</v>
      </c>
      <c r="H9" s="76">
        <f>Tabla18[[#Totals],[Hermanado5]]</f>
        <v>0</v>
      </c>
      <c r="I9" s="76">
        <f>Tabla18[[#Totals],[apeados]]</f>
        <v>7</v>
      </c>
    </row>
    <row r="10" spans="1:9" x14ac:dyDescent="0.35">
      <c r="A10" t="s">
        <v>104</v>
      </c>
      <c r="B10" s="76">
        <f>Tabla20[[#Totals],[altura]]</f>
        <v>6.8863636363636367</v>
      </c>
      <c r="C10" s="76">
        <f>Tabla20[[#Totals],[diámetro]]</f>
        <v>16.617647058823529</v>
      </c>
      <c r="D10" s="76">
        <f>Tabla20[[#Totals],[Hermanado1]]</f>
        <v>12.7</v>
      </c>
      <c r="E10" s="76">
        <f>Tabla20[[#Totals],[Hermanado2]]</f>
        <v>13.8</v>
      </c>
      <c r="F10" s="76">
        <f>Tabla20[[#Totals],[Hermanado 3]]</f>
        <v>0</v>
      </c>
      <c r="G10" s="76">
        <f>Tabla20[[#Totals],[Hermanado4]]</f>
        <v>0</v>
      </c>
      <c r="H10" s="76">
        <f>Tabla20[[#Totals],[Hermanado5]]</f>
        <v>0</v>
      </c>
      <c r="I10" s="76">
        <f>Tabla20[[#Totals],[apeo]]</f>
        <v>29</v>
      </c>
    </row>
    <row r="11" spans="1:9" x14ac:dyDescent="0.35">
      <c r="A11" t="s">
        <v>71</v>
      </c>
      <c r="B11" s="76">
        <f>Tabla8[[#Totals],[altura]]</f>
        <v>9.9116279069767437</v>
      </c>
      <c r="C11" s="76">
        <f>Tabla8[[#Totals],[diámetro]]</f>
        <v>14.84</v>
      </c>
      <c r="D11" s="76">
        <f>Tabla8[[#Totals],[Hermanado1]]</f>
        <v>12.222222222222221</v>
      </c>
      <c r="E11" s="76">
        <f>Tabla8[[#Totals],[Hermanado2]]</f>
        <v>12.083333333333334</v>
      </c>
      <c r="F11" s="76">
        <f>Tabla8[[#Totals],[Hermanado3]]</f>
        <v>16</v>
      </c>
      <c r="G11" s="76">
        <f>Tabla8[[#Totals],[Hermanado4]]</f>
        <v>16</v>
      </c>
      <c r="H11" s="76" t="e">
        <f>Tabla8[[#Totals],[Hermanado5]]</f>
        <v>#DIV/0!</v>
      </c>
      <c r="I11" s="76">
        <f>Tabla8[[#Totals],[apeo]]</f>
        <v>0</v>
      </c>
    </row>
    <row r="12" spans="1:9" x14ac:dyDescent="0.35">
      <c r="A12" t="s">
        <v>72</v>
      </c>
      <c r="B12" s="76">
        <f>Tabla9[[#Totals],[altura]]</f>
        <v>6.8139534883720927</v>
      </c>
      <c r="C12" s="76">
        <f>Tabla9[[#Totals],[diámetro]]</f>
        <v>13.151515151515152</v>
      </c>
      <c r="D12" s="76">
        <f>Tabla9[[#Totals],[Hermanado1]]</f>
        <v>14.9</v>
      </c>
      <c r="E12" s="76">
        <f>Tabla9[[#Totals],[Hermanado2]]</f>
        <v>15</v>
      </c>
      <c r="F12" s="76">
        <f>Tabla9[[#Totals],[Hermanado3]]</f>
        <v>14</v>
      </c>
      <c r="G12" s="76">
        <f>Tabla9[[#Totals],[Hermanado4]]</f>
        <v>0</v>
      </c>
      <c r="H12" s="76">
        <f>Tabla9[[#Totals],[APEADO]]</f>
        <v>5</v>
      </c>
      <c r="I12" s="76">
        <f>Tabla9[[#Totals],[APEADO]]</f>
        <v>5</v>
      </c>
    </row>
    <row r="13" spans="1:9" x14ac:dyDescent="0.35">
      <c r="A13" t="s">
        <v>69</v>
      </c>
      <c r="B13" s="76">
        <f>Tabla10[[#Totals],[altura]]</f>
        <v>7.7764705882352949</v>
      </c>
      <c r="C13" s="76">
        <f>Tabla10[[#Totals],[diámetro]]</f>
        <v>17.37142857142857</v>
      </c>
      <c r="D13" s="76">
        <f>Tabla10[[#Totals],[Hermanado1]]</f>
        <v>13.947368421052632</v>
      </c>
      <c r="E13" s="76">
        <f>Tabla10[[#Totals],[Hermanado2]]</f>
        <v>14.789473684210526</v>
      </c>
      <c r="F13" s="76">
        <f>Tabla10[[#Totals],[Hermanado22]]</f>
        <v>0</v>
      </c>
      <c r="G13" s="76">
        <f>Tabla10[[#Totals],[Hermanado4]]</f>
        <v>0</v>
      </c>
      <c r="H13" s="76">
        <f>Tabla10[[#Totals],[apeados]]</f>
        <v>3</v>
      </c>
      <c r="I13" s="76">
        <f>Tabla10[[#Totals],[apeados]]</f>
        <v>3</v>
      </c>
    </row>
    <row r="14" spans="1:9" x14ac:dyDescent="0.35">
      <c r="A14" t="s">
        <v>105</v>
      </c>
      <c r="B14" s="76">
        <f>Tabla11[[#Totals],[altura]]</f>
        <v>6.5740740740740744</v>
      </c>
      <c r="C14" s="76">
        <f>Tabla11[[#Totals],[diámetro]]</f>
        <v>13.777777777777779</v>
      </c>
      <c r="D14" s="76">
        <f>Tabla11[[#Totals],[Hermanado1]]</f>
        <v>14.333333333333334</v>
      </c>
      <c r="E14" s="76">
        <f>Tabla11[[#Totals],[Hermanado2]]</f>
        <v>11.666666666666666</v>
      </c>
      <c r="F14" s="76">
        <f>Tabla11[[#Totals],[Hermanado3]]</f>
        <v>7</v>
      </c>
      <c r="G14" s="76">
        <f>Tabla11[[#Totals],[Hermanado4]]</f>
        <v>0</v>
      </c>
      <c r="H14" s="76">
        <f>Tabla11[[#Totals],[apeados]]</f>
        <v>12</v>
      </c>
      <c r="I14" s="76">
        <f>Tabla11[[#Totals],[apeados]]</f>
        <v>12</v>
      </c>
    </row>
    <row r="15" spans="1:9" x14ac:dyDescent="0.35">
      <c r="A15" t="s">
        <v>121</v>
      </c>
      <c r="B15" s="76">
        <f>Tabla21[[#Totals],[altura]]</f>
        <v>6.7164179104477615</v>
      </c>
      <c r="C15" s="76">
        <f>Tabla21[[#Totals],[diámetro]]</f>
        <v>13.29</v>
      </c>
      <c r="D15" s="76">
        <f>Tabla21[[#Totals],[Hermanado1]]</f>
        <v>14.882352941176471</v>
      </c>
      <c r="E15" s="76">
        <f>Tabla21[[#Totals],[Hermanado2]]</f>
        <v>16.235294117647058</v>
      </c>
      <c r="F15" s="76">
        <f>Tabla21[[#Totals],[Hermanado3]]</f>
        <v>0</v>
      </c>
      <c r="G15" s="76">
        <f>Tabla21[[#Totals],[Hermanado4]]</f>
        <v>0</v>
      </c>
      <c r="H15" s="76">
        <f>Tabla21[[#Totals],[apeo]]</f>
        <v>11</v>
      </c>
      <c r="I15" s="76">
        <f>Tabla21[[#Totals],[apeo]]</f>
        <v>11</v>
      </c>
    </row>
    <row r="16" spans="1:9" x14ac:dyDescent="0.35">
      <c r="A16" t="s">
        <v>122</v>
      </c>
      <c r="B16" s="76">
        <f>Tabla12[[#Totals],[altura]]</f>
        <v>6.7127659574468082</v>
      </c>
      <c r="C16" s="76">
        <f>Tabla12[[#Totals],[diámetro]]</f>
        <v>15.815789473684211</v>
      </c>
      <c r="D16" s="76">
        <f>Tabla12[[#Totals],[Hermanado1]]</f>
        <v>14.3</v>
      </c>
      <c r="E16" s="76">
        <f>Tabla12[[#Totals],[Hermanado2]]</f>
        <v>15.5</v>
      </c>
      <c r="F16" s="76">
        <f>Tabla12[[#Totals],[Hermanado 3]]</f>
        <v>0</v>
      </c>
      <c r="G16" s="76">
        <f>Tabla12[[#Totals],[Hermanado4]]</f>
        <v>0</v>
      </c>
      <c r="H16" s="76">
        <f>Tabla12[[#Totals],[apeados]]</f>
        <v>10</v>
      </c>
      <c r="I16" s="76">
        <f>Tabla12[[#Totals],[apeados]]</f>
        <v>10</v>
      </c>
    </row>
    <row r="17" spans="1:9" x14ac:dyDescent="0.35">
      <c r="A17" t="s">
        <v>68</v>
      </c>
      <c r="B17" s="76">
        <f>Tabla13[[#Totals],[altura]]</f>
        <v>5.4787878787878794</v>
      </c>
      <c r="C17" s="76">
        <f>Tabla13[[#Totals],[diámetro]]</f>
        <v>13.636363636363637</v>
      </c>
      <c r="D17" s="76">
        <f>Tabla13[[#Totals],[Hermanado1]]</f>
        <v>11.818181818181818</v>
      </c>
      <c r="E17" s="76">
        <f>Tabla13[[#Totals],[Hermanado2]]</f>
        <v>11.454545454545455</v>
      </c>
      <c r="F17" s="76">
        <f>Tabla13[[#Totals],[Hermanado3]]</f>
        <v>11.333333333333334</v>
      </c>
      <c r="G17" s="76">
        <f>Tabla13[[#Totals],[Hermanado4]]</f>
        <v>0</v>
      </c>
      <c r="H17" s="76">
        <f>Tabla13[[#Totals],[vitalidad]]</f>
        <v>0</v>
      </c>
      <c r="I17" s="76">
        <f>Tabla13[[#Totals],[vitalidad]]</f>
        <v>0</v>
      </c>
    </row>
    <row r="18" spans="1:9" x14ac:dyDescent="0.35">
      <c r="A18" t="s">
        <v>86</v>
      </c>
      <c r="B18" s="76">
        <f>Tabla22[[#Totals],[altura]]</f>
        <v>7.677777777777778</v>
      </c>
      <c r="C18" s="76">
        <f>Tabla22[[#Totals],[diámetro]]</f>
        <v>15.8125</v>
      </c>
      <c r="D18" s="76">
        <f>Tabla22[[#Totals],[Hermanado1]]</f>
        <v>10.615384615384615</v>
      </c>
      <c r="E18" s="76">
        <f>Tabla22[[#Totals],[Hermanado2]]</f>
        <v>11.384615384615385</v>
      </c>
      <c r="F18" s="76">
        <f>Tabla22[[#Totals],[Hermanado3]]</f>
        <v>0</v>
      </c>
      <c r="G18" s="76">
        <f>Tabla22[[#Totals],[Hermanado4]]</f>
        <v>0</v>
      </c>
      <c r="H18" s="76">
        <f>Tabla22[[#Totals],[vitalidad]]</f>
        <v>0</v>
      </c>
      <c r="I18" s="76">
        <f>Tabla22[[#Totals],[vitalidad]]</f>
        <v>0</v>
      </c>
    </row>
    <row r="19" spans="1:9" x14ac:dyDescent="0.35">
      <c r="A19" t="s">
        <v>120</v>
      </c>
      <c r="B19" s="76">
        <f>Tabla14[[#Totals],[altura]]</f>
        <v>6.8620689655172411</v>
      </c>
      <c r="C19" s="76">
        <f>Tabla14[[#Totals],[diámetro]]</f>
        <v>14.365853658536585</v>
      </c>
      <c r="D19" s="76">
        <f>Tabla14[[#Totals],[Hermanado1]]</f>
        <v>17</v>
      </c>
      <c r="E19" s="76">
        <f>Tabla14[[#Totals],[Hermanado2]]</f>
        <v>17</v>
      </c>
      <c r="F19" s="76">
        <f>Tabla14[[#Totals],[Hermanado3]]</f>
        <v>2</v>
      </c>
      <c r="G19" s="76">
        <f>Tabla14[[#Totals],[Hermanado4]]</f>
        <v>17</v>
      </c>
      <c r="H19" s="76">
        <f>Tabla14[[#Totals],[vitalidad]]</f>
        <v>0</v>
      </c>
      <c r="I19" s="76">
        <f>Tabla14[[#Totals],[vitalidad]]</f>
        <v>0</v>
      </c>
    </row>
    <row r="20" spans="1:9" x14ac:dyDescent="0.35">
      <c r="A20" t="s">
        <v>118</v>
      </c>
      <c r="B20" s="76">
        <f>Tabla15[[#Totals],[altura]]</f>
        <v>6.4561403508771926</v>
      </c>
      <c r="C20" s="76">
        <f>Tabla15[[#Totals],[diámetro]]</f>
        <v>12.2</v>
      </c>
      <c r="D20" s="76">
        <f>Tabla15[[#Totals],[Hermanado1]]</f>
        <v>13</v>
      </c>
      <c r="E20" s="76">
        <f>Tabla15[[#Totals],[Hermanado2]]</f>
        <v>13.714285714285714</v>
      </c>
      <c r="F20" s="76">
        <f>Tabla15[[#Totals],[Hermanado3]]</f>
        <v>7</v>
      </c>
      <c r="G20" s="76">
        <f>Tabla15[[#Totals],[Hermanado4]]</f>
        <v>0</v>
      </c>
      <c r="H20" s="76">
        <f>Tabla15[[#Totals],[vitalidad]]</f>
        <v>0</v>
      </c>
      <c r="I20" s="76">
        <f>Tabla15[[#Totals],[vitalidad]]</f>
        <v>0</v>
      </c>
    </row>
    <row r="21" spans="1:9" x14ac:dyDescent="0.35">
      <c r="A21" t="s">
        <v>100</v>
      </c>
      <c r="B21" s="76">
        <f>Tabla16[[#Totals],[altura]]</f>
        <v>7.203125</v>
      </c>
      <c r="C21" s="76">
        <f>Tabla16[[#Totals],[diámetro]]</f>
        <v>15.434782608695652</v>
      </c>
      <c r="D21" s="76">
        <f>Tabla16[[#Totals],[Hermanado1]]</f>
        <v>11.545454545454545</v>
      </c>
      <c r="E21" s="76">
        <f>Tabla16[[#Totals],[Hermanado2]]</f>
        <v>11.333333333333334</v>
      </c>
      <c r="F21" s="76">
        <f>Tabla16[[#Totals],[Hermanado3]]</f>
        <v>16</v>
      </c>
      <c r="G21" s="76">
        <f>Tabla16[[#Totals],[Hermanado4]]</f>
        <v>0</v>
      </c>
      <c r="H21" s="76">
        <f>Tabla16[[#Totals],[vitalidad]]</f>
        <v>0</v>
      </c>
      <c r="I21" s="76">
        <f>Tabla16[[#Totals],[vitalidad]]</f>
        <v>0</v>
      </c>
    </row>
    <row r="22" spans="1:9" x14ac:dyDescent="0.35">
      <c r="A22" t="s">
        <v>119</v>
      </c>
      <c r="B22" s="76">
        <f>Tabla17[[#Totals],[altura]]</f>
        <v>4.4074074074074074</v>
      </c>
      <c r="C22" s="76">
        <f>Tabla17[[#Totals],[diámetro]]</f>
        <v>11.56</v>
      </c>
      <c r="D22" s="76">
        <f>Tabla17[[#Totals],[Hermanado1]]</f>
        <v>14.25</v>
      </c>
      <c r="E22" s="76">
        <f>Tabla17[[#Totals],[Hermanado2]]</f>
        <v>10.75</v>
      </c>
      <c r="F22" s="76">
        <f>Tabla17[[#Totals],[Hermanado3]]</f>
        <v>0</v>
      </c>
      <c r="G22" s="76">
        <f>Tabla17[[#Totals],[Hermanado4]]</f>
        <v>0</v>
      </c>
      <c r="H22" s="76">
        <f>Tabla17[[#Totals],[vitalidad]]</f>
        <v>0</v>
      </c>
      <c r="I22" s="76">
        <f>Tabla17[[#Totals],[vitalidad]]</f>
        <v>0</v>
      </c>
    </row>
    <row r="23" spans="1:9" x14ac:dyDescent="0.35">
      <c r="A23" t="s">
        <v>146</v>
      </c>
      <c r="B23" s="79" t="e">
        <f ca="1">SUBTOTAL(101,Tabla23[altura])</f>
        <v>#DIV/0!</v>
      </c>
      <c r="C23" s="79">
        <f>SUBTOTAL(101,Tabla23[diámetro])</f>
        <v>13.529378505110014</v>
      </c>
      <c r="D23" s="79">
        <f>SUBTOTAL(101,Tabla23[Hermanado1])</f>
        <v>13.036077671707186</v>
      </c>
      <c r="E23" s="79">
        <f>SUBTOTAL(101,Tabla23[Hermanado2])</f>
        <v>12.698936992803093</v>
      </c>
      <c r="F23" s="79">
        <f>SUBTOTAL(101,Tabla23[Hermanado3])</f>
        <v>6.9009259259259252</v>
      </c>
      <c r="G23" s="202"/>
      <c r="H23" s="131"/>
      <c r="I23" s="79">
        <f>SUBTOTAL(109,Tabla23[apeado])</f>
        <v>139</v>
      </c>
    </row>
  </sheetData>
  <pageMargins left="0.7" right="0.7" top="0.75" bottom="0.75" header="0.3" footer="0.3"/>
  <pageSetup paperSize="9" scale="82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workbookViewId="0">
      <selection activeCell="K5" sqref="K5"/>
    </sheetView>
  </sheetViews>
  <sheetFormatPr baseColWidth="10" defaultColWidth="8.81640625" defaultRowHeight="14.5" x14ac:dyDescent="0.35"/>
  <cols>
    <col min="1" max="1" width="10.7265625" customWidth="1"/>
    <col min="2" max="2" width="7.7265625" customWidth="1"/>
    <col min="7" max="7" width="7.26953125" customWidth="1"/>
    <col min="18" max="18" width="11.54296875" bestFit="1" customWidth="1"/>
    <col min="20" max="20" width="10.1796875" customWidth="1"/>
  </cols>
  <sheetData>
    <row r="1" spans="1:26" ht="15" customHeight="1" thickBot="1" x14ac:dyDescent="0.4">
      <c r="A1" s="377" t="s">
        <v>150</v>
      </c>
      <c r="B1" s="376" t="s">
        <v>151</v>
      </c>
      <c r="C1" s="377" t="s">
        <v>152</v>
      </c>
      <c r="D1" s="376" t="s">
        <v>153</v>
      </c>
      <c r="E1" s="378" t="s">
        <v>154</v>
      </c>
      <c r="F1" s="379" t="s">
        <v>155</v>
      </c>
      <c r="G1" s="379"/>
      <c r="H1" s="379" t="s">
        <v>156</v>
      </c>
      <c r="I1" s="379" t="s">
        <v>157</v>
      </c>
      <c r="J1" s="379"/>
      <c r="K1" s="376" t="s">
        <v>158</v>
      </c>
      <c r="L1" s="376" t="s">
        <v>159</v>
      </c>
      <c r="M1" s="376" t="s">
        <v>160</v>
      </c>
      <c r="N1" s="376" t="s">
        <v>161</v>
      </c>
      <c r="O1" s="376" t="s">
        <v>162</v>
      </c>
      <c r="P1" s="376" t="s">
        <v>163</v>
      </c>
      <c r="Q1" s="376" t="s">
        <v>164</v>
      </c>
      <c r="R1" s="381" t="s">
        <v>165</v>
      </c>
      <c r="S1" s="381"/>
      <c r="T1" s="381"/>
      <c r="U1" s="376" t="s">
        <v>166</v>
      </c>
      <c r="V1" s="376" t="s">
        <v>167</v>
      </c>
      <c r="W1" s="376" t="s">
        <v>168</v>
      </c>
      <c r="X1" s="376" t="s">
        <v>169</v>
      </c>
      <c r="Y1" s="376" t="s">
        <v>170</v>
      </c>
      <c r="Z1" s="376" t="s">
        <v>171</v>
      </c>
    </row>
    <row r="2" spans="1:26" ht="15" thickBot="1" x14ac:dyDescent="0.4">
      <c r="A2" s="377"/>
      <c r="B2" s="376"/>
      <c r="C2" s="377"/>
      <c r="D2" s="377"/>
      <c r="E2" s="378"/>
      <c r="F2" s="379"/>
      <c r="G2" s="379"/>
      <c r="H2" s="379"/>
      <c r="I2" s="379"/>
      <c r="J2" s="379"/>
      <c r="K2" s="376"/>
      <c r="L2" s="376"/>
      <c r="M2" s="376"/>
      <c r="N2" s="376"/>
      <c r="O2" s="376"/>
      <c r="P2" s="376"/>
      <c r="Q2" s="376"/>
      <c r="R2" s="80" t="s">
        <v>78</v>
      </c>
      <c r="S2" s="80" t="s">
        <v>172</v>
      </c>
      <c r="T2" s="80" t="s">
        <v>173</v>
      </c>
      <c r="U2" s="376"/>
      <c r="V2" s="376"/>
      <c r="W2" s="376"/>
      <c r="X2" s="376"/>
      <c r="Y2" s="376"/>
      <c r="Z2" s="376"/>
    </row>
    <row r="3" spans="1:26" ht="15" thickBot="1" x14ac:dyDescent="0.4">
      <c r="A3" s="377"/>
      <c r="B3" s="376"/>
      <c r="C3" s="377"/>
      <c r="D3" s="377"/>
      <c r="E3" s="378"/>
      <c r="F3" s="81" t="s">
        <v>174</v>
      </c>
      <c r="G3" s="82" t="s">
        <v>175</v>
      </c>
      <c r="H3" s="379"/>
      <c r="I3" s="81" t="s">
        <v>174</v>
      </c>
      <c r="J3" s="82" t="s">
        <v>175</v>
      </c>
      <c r="K3" s="376"/>
      <c r="L3" s="376"/>
      <c r="M3" s="376"/>
      <c r="N3" s="376"/>
      <c r="O3" s="376"/>
      <c r="P3" s="376"/>
      <c r="Q3" s="376"/>
      <c r="R3" s="83">
        <v>1.0409E-3</v>
      </c>
      <c r="S3">
        <v>1.90943</v>
      </c>
      <c r="T3">
        <v>0.72075999999999996</v>
      </c>
      <c r="U3" s="376"/>
      <c r="V3" s="376"/>
      <c r="W3" s="376"/>
      <c r="X3" s="376"/>
      <c r="Y3" s="376"/>
      <c r="Z3" s="376"/>
    </row>
    <row r="4" spans="1:26" x14ac:dyDescent="0.35">
      <c r="A4" s="84" t="s">
        <v>176</v>
      </c>
      <c r="B4" s="3">
        <v>0</v>
      </c>
      <c r="C4" s="85">
        <f t="shared" ref="C4:C15" si="0">10000*B4/706.86</f>
        <v>0</v>
      </c>
      <c r="D4" s="86">
        <f t="shared" ref="D4:D14" si="1">(PI()*(F4^2)/4)/10000</f>
        <v>0</v>
      </c>
      <c r="E4" s="87">
        <f t="shared" ref="E4:E14" si="2">D4*C4</f>
        <v>0</v>
      </c>
      <c r="F4" s="88">
        <v>0</v>
      </c>
      <c r="G4" s="85">
        <f t="shared" ref="G4:G14" si="3">F4*B4</f>
        <v>0</v>
      </c>
      <c r="H4" s="85">
        <f t="shared" ref="H4:H14" si="4">F4*10</f>
        <v>0</v>
      </c>
      <c r="I4" s="89">
        <v>0</v>
      </c>
      <c r="J4" s="90">
        <f t="shared" ref="J4:J14" si="5">I4*B4</f>
        <v>0</v>
      </c>
      <c r="K4" s="91">
        <f>R6*(H4^S6)*(I4^T6)/1000</f>
        <v>0</v>
      </c>
      <c r="L4" s="92">
        <f t="shared" ref="L4:L14" si="6">K4*C4</f>
        <v>0</v>
      </c>
      <c r="M4" s="93">
        <v>0</v>
      </c>
      <c r="N4" s="94">
        <f t="shared" ref="N4:N14" si="7">H4+M4</f>
        <v>0</v>
      </c>
      <c r="O4" s="91">
        <f>R6*(N4^S6)*(I4^T6)/1000</f>
        <v>0</v>
      </c>
      <c r="P4" s="91">
        <f t="shared" ref="P4:P14" si="8">O4-K4</f>
        <v>0</v>
      </c>
      <c r="Q4" s="91">
        <f>P4*C4/10</f>
        <v>0</v>
      </c>
      <c r="R4" s="381" t="s">
        <v>177</v>
      </c>
      <c r="S4" s="381"/>
      <c r="T4" s="381"/>
      <c r="U4" s="91">
        <f>R$10*(H4^S$10)/1000</f>
        <v>0</v>
      </c>
      <c r="V4" s="92">
        <f>U4*C4</f>
        <v>0</v>
      </c>
      <c r="W4" s="91">
        <f>R$10*(N4^S$10)/1000</f>
        <v>0</v>
      </c>
      <c r="X4" s="91">
        <f>(W4-U4)*C4/10</f>
        <v>0</v>
      </c>
      <c r="Y4" s="95">
        <f>(((0.0139*F4^2*I4)+((4.257+(0.00506*F4^2*I4)-(0.0722*F4*I4))+((6.197+(0.00932*F4^2*I4)-(0.0686*F4*I4))))))</f>
        <v>10.454000000000001</v>
      </c>
      <c r="Z4" s="96">
        <f>Y4*C4/1000</f>
        <v>0</v>
      </c>
    </row>
    <row r="5" spans="1:26" x14ac:dyDescent="0.35">
      <c r="A5" s="97" t="s">
        <v>178</v>
      </c>
      <c r="B5" s="3">
        <v>1</v>
      </c>
      <c r="C5" s="85">
        <f t="shared" si="0"/>
        <v>14.147072970602382</v>
      </c>
      <c r="D5" s="86">
        <f t="shared" si="1"/>
        <v>1.6604228236091596E-2</v>
      </c>
      <c r="E5" s="91">
        <f t="shared" si="2"/>
        <v>0.23490122847652428</v>
      </c>
      <c r="F5" s="88">
        <v>14.54</v>
      </c>
      <c r="G5" s="85">
        <f t="shared" si="3"/>
        <v>14.54</v>
      </c>
      <c r="H5" s="85">
        <f t="shared" si="4"/>
        <v>145.39999999999998</v>
      </c>
      <c r="I5" s="89">
        <v>7.14</v>
      </c>
      <c r="J5" s="90">
        <f t="shared" si="5"/>
        <v>7.14</v>
      </c>
      <c r="K5" s="91">
        <f>R6*(H5^S6)*(I5^T6)/1000</f>
        <v>4.5055518374514679E-2</v>
      </c>
      <c r="L5" s="92">
        <f t="shared" si="6"/>
        <v>0.63740370617257558</v>
      </c>
      <c r="M5" s="93">
        <v>0</v>
      </c>
      <c r="N5" s="94">
        <f t="shared" si="7"/>
        <v>145.39999999999998</v>
      </c>
      <c r="O5" s="91">
        <f>R6*(N5^S6)*(I5^T6)/1000</f>
        <v>4.5055518374514679E-2</v>
      </c>
      <c r="P5" s="91">
        <f t="shared" si="8"/>
        <v>0</v>
      </c>
      <c r="Q5" s="91">
        <f>(P5*C5)/10</f>
        <v>0</v>
      </c>
      <c r="R5" s="80" t="s">
        <v>78</v>
      </c>
      <c r="S5" s="80" t="s">
        <v>172</v>
      </c>
      <c r="T5" s="80" t="s">
        <v>173</v>
      </c>
      <c r="U5" s="91">
        <f t="shared" ref="U5:U14" si="9">R$10*(H5^S$10)/1000</f>
        <v>4.9837339389628178E-3</v>
      </c>
      <c r="V5" s="92">
        <f>U5*C5</f>
        <v>7.0505247700574619E-2</v>
      </c>
      <c r="W5" s="91">
        <f t="shared" ref="W5:W14" si="10">R$10*(N5^S$10)/1000</f>
        <v>4.9837339389628178E-3</v>
      </c>
      <c r="X5" s="91">
        <f t="shared" ref="X5:X14" si="11">(W5-U5)*C5/10</f>
        <v>0</v>
      </c>
      <c r="Y5" s="95">
        <f t="shared" ref="Y5:Y14" si="12">(((0.0139*F5^2*I5)+((4.257+(0.00506*F5^2*I5)-(0.0722*F5*I5))+((6.197+(0.00932*F5^2*I5)-(0.0686*F5*I5))))))</f>
        <v>38.524824662719993</v>
      </c>
      <c r="Z5" s="96">
        <f>Y5*C5/1000</f>
        <v>0.54501350568316209</v>
      </c>
    </row>
    <row r="6" spans="1:26" x14ac:dyDescent="0.35">
      <c r="A6" s="97" t="s">
        <v>179</v>
      </c>
      <c r="B6" s="3">
        <v>0</v>
      </c>
      <c r="C6" s="85">
        <f t="shared" si="0"/>
        <v>0</v>
      </c>
      <c r="D6" s="86">
        <f t="shared" si="1"/>
        <v>0</v>
      </c>
      <c r="E6" s="91">
        <f t="shared" si="2"/>
        <v>0</v>
      </c>
      <c r="F6" s="88">
        <v>0</v>
      </c>
      <c r="G6" s="98">
        <f t="shared" si="3"/>
        <v>0</v>
      </c>
      <c r="H6" s="85">
        <f t="shared" si="4"/>
        <v>0</v>
      </c>
      <c r="I6" s="89">
        <v>0</v>
      </c>
      <c r="J6" s="90">
        <f t="shared" si="5"/>
        <v>0</v>
      </c>
      <c r="K6" s="91">
        <f>R6*(H6^S6)*(I6^T6)/1000</f>
        <v>0</v>
      </c>
      <c r="L6" s="92">
        <f t="shared" si="6"/>
        <v>0</v>
      </c>
      <c r="M6" s="93">
        <v>0</v>
      </c>
      <c r="N6" s="94">
        <f t="shared" si="7"/>
        <v>0</v>
      </c>
      <c r="O6" s="91">
        <f>R6*(N6^S6)*(I6^T6)/1000</f>
        <v>0</v>
      </c>
      <c r="P6" s="91">
        <f t="shared" si="8"/>
        <v>0</v>
      </c>
      <c r="Q6" s="91">
        <f>P6*C6/10</f>
        <v>0</v>
      </c>
      <c r="R6">
        <v>7.4489999999999995E-4</v>
      </c>
      <c r="S6">
        <v>2.1004499999999999</v>
      </c>
      <c r="T6">
        <v>0.28029999999999999</v>
      </c>
      <c r="U6" s="91">
        <f t="shared" si="9"/>
        <v>0</v>
      </c>
      <c r="V6" s="92">
        <f t="shared" ref="V6:V14" si="13">U6*C6</f>
        <v>0</v>
      </c>
      <c r="W6" s="91">
        <f t="shared" si="10"/>
        <v>0</v>
      </c>
      <c r="X6" s="91">
        <f t="shared" si="11"/>
        <v>0</v>
      </c>
      <c r="Y6" s="95">
        <f t="shared" si="12"/>
        <v>10.454000000000001</v>
      </c>
      <c r="Z6" s="96">
        <f t="shared" ref="Z6:Z14" si="14">Y6*C6/1000</f>
        <v>0</v>
      </c>
    </row>
    <row r="7" spans="1:26" x14ac:dyDescent="0.35">
      <c r="A7" s="97" t="s">
        <v>180</v>
      </c>
      <c r="B7" s="3">
        <v>0</v>
      </c>
      <c r="C7" s="85">
        <f t="shared" si="0"/>
        <v>0</v>
      </c>
      <c r="D7" s="86">
        <f t="shared" si="1"/>
        <v>0</v>
      </c>
      <c r="E7" s="91">
        <f t="shared" si="2"/>
        <v>0</v>
      </c>
      <c r="F7" s="88">
        <v>0</v>
      </c>
      <c r="G7" s="98">
        <f t="shared" si="3"/>
        <v>0</v>
      </c>
      <c r="H7" s="85">
        <f t="shared" si="4"/>
        <v>0</v>
      </c>
      <c r="I7" s="89">
        <v>0</v>
      </c>
      <c r="J7" s="90">
        <f t="shared" si="5"/>
        <v>0</v>
      </c>
      <c r="K7" s="91">
        <f>R3*(H7^S3)*(I7^T3)/1000</f>
        <v>0</v>
      </c>
      <c r="L7" s="92">
        <f t="shared" si="6"/>
        <v>0</v>
      </c>
      <c r="M7" s="93">
        <v>0</v>
      </c>
      <c r="N7" s="94">
        <f t="shared" si="7"/>
        <v>0</v>
      </c>
      <c r="O7" s="91">
        <f>R3*(N7^S3)*(I7^T3)/1000</f>
        <v>0</v>
      </c>
      <c r="P7" s="91">
        <f t="shared" si="8"/>
        <v>0</v>
      </c>
      <c r="Q7" s="91">
        <f t="shared" ref="Q7:Q14" si="15">P7*C7/10</f>
        <v>0</v>
      </c>
      <c r="U7" s="91">
        <f t="shared" si="9"/>
        <v>0</v>
      </c>
      <c r="V7" s="92">
        <f t="shared" si="13"/>
        <v>0</v>
      </c>
      <c r="W7" s="91">
        <f t="shared" si="10"/>
        <v>0</v>
      </c>
      <c r="X7" s="91">
        <f t="shared" si="11"/>
        <v>0</v>
      </c>
      <c r="Y7" s="95">
        <f t="shared" si="12"/>
        <v>10.454000000000001</v>
      </c>
      <c r="Z7" s="96">
        <f t="shared" si="14"/>
        <v>0</v>
      </c>
    </row>
    <row r="8" spans="1:26" x14ac:dyDescent="0.35">
      <c r="A8" s="97" t="s">
        <v>181</v>
      </c>
      <c r="B8" s="3">
        <v>0</v>
      </c>
      <c r="C8" s="85">
        <f t="shared" si="0"/>
        <v>0</v>
      </c>
      <c r="D8" s="86">
        <f t="shared" si="1"/>
        <v>0</v>
      </c>
      <c r="E8" s="99">
        <f t="shared" si="2"/>
        <v>0</v>
      </c>
      <c r="F8" s="88">
        <v>0</v>
      </c>
      <c r="G8" s="98">
        <f t="shared" si="3"/>
        <v>0</v>
      </c>
      <c r="H8" s="85">
        <f t="shared" si="4"/>
        <v>0</v>
      </c>
      <c r="I8" s="89">
        <v>0</v>
      </c>
      <c r="J8" s="90">
        <f t="shared" si="5"/>
        <v>0</v>
      </c>
      <c r="K8" s="91">
        <f>R3*(H8^S3)*(I8^T3)/1000</f>
        <v>0</v>
      </c>
      <c r="L8" s="92">
        <f t="shared" si="6"/>
        <v>0</v>
      </c>
      <c r="M8" s="93">
        <v>0</v>
      </c>
      <c r="N8" s="94">
        <f t="shared" si="7"/>
        <v>0</v>
      </c>
      <c r="O8" s="91">
        <f>R3*(N8^S3)*(I8^T3)/1000</f>
        <v>0</v>
      </c>
      <c r="P8" s="91">
        <f t="shared" si="8"/>
        <v>0</v>
      </c>
      <c r="Q8" s="91">
        <f t="shared" si="15"/>
        <v>0</v>
      </c>
      <c r="R8" s="380" t="s">
        <v>182</v>
      </c>
      <c r="S8" s="380"/>
      <c r="U8" s="91">
        <f t="shared" si="9"/>
        <v>0</v>
      </c>
      <c r="V8" s="92">
        <f t="shared" si="13"/>
        <v>0</v>
      </c>
      <c r="W8" s="91">
        <f t="shared" si="10"/>
        <v>0</v>
      </c>
      <c r="X8" s="91">
        <f t="shared" si="11"/>
        <v>0</v>
      </c>
      <c r="Y8" s="95">
        <f t="shared" si="12"/>
        <v>10.454000000000001</v>
      </c>
      <c r="Z8" s="96">
        <f t="shared" si="14"/>
        <v>0</v>
      </c>
    </row>
    <row r="9" spans="1:26" x14ac:dyDescent="0.35">
      <c r="A9" s="97" t="s">
        <v>183</v>
      </c>
      <c r="B9" s="3">
        <f>[1]Halepensis!H9</f>
        <v>0</v>
      </c>
      <c r="C9" s="85">
        <f t="shared" si="0"/>
        <v>0</v>
      </c>
      <c r="D9" s="86">
        <f t="shared" si="1"/>
        <v>0</v>
      </c>
      <c r="E9" s="99">
        <f t="shared" si="2"/>
        <v>0</v>
      </c>
      <c r="F9" s="88" t="str">
        <f>[1]Halepensis!I9</f>
        <v>0</v>
      </c>
      <c r="G9" s="98">
        <f t="shared" si="3"/>
        <v>0</v>
      </c>
      <c r="H9" s="85">
        <f t="shared" si="4"/>
        <v>0</v>
      </c>
      <c r="I9" s="89" t="str">
        <f>[1]Halepensis!J9</f>
        <v>0</v>
      </c>
      <c r="J9" s="90">
        <f t="shared" si="5"/>
        <v>0</v>
      </c>
      <c r="K9" s="91">
        <f>R3*(H9^S3)*(I9^T3)/1000</f>
        <v>0</v>
      </c>
      <c r="L9" s="92">
        <f t="shared" si="6"/>
        <v>0</v>
      </c>
      <c r="M9" s="93">
        <v>0</v>
      </c>
      <c r="N9" s="94">
        <f t="shared" si="7"/>
        <v>0</v>
      </c>
      <c r="O9" s="91">
        <f>R3*(N9^S3)*(I9^T3)/1000</f>
        <v>0</v>
      </c>
      <c r="P9" s="91">
        <f t="shared" si="8"/>
        <v>0</v>
      </c>
      <c r="Q9" s="91">
        <f t="shared" si="15"/>
        <v>0</v>
      </c>
      <c r="R9" s="80" t="s">
        <v>78</v>
      </c>
      <c r="S9" s="80" t="s">
        <v>172</v>
      </c>
      <c r="U9" s="91">
        <f t="shared" si="9"/>
        <v>0</v>
      </c>
      <c r="V9" s="92">
        <f t="shared" si="13"/>
        <v>0</v>
      </c>
      <c r="W9" s="91">
        <f t="shared" si="10"/>
        <v>0</v>
      </c>
      <c r="X9" s="91">
        <f t="shared" si="11"/>
        <v>0</v>
      </c>
      <c r="Y9" s="95">
        <f t="shared" si="12"/>
        <v>10.454000000000001</v>
      </c>
      <c r="Z9" s="96">
        <f t="shared" si="14"/>
        <v>0</v>
      </c>
    </row>
    <row r="10" spans="1:26" x14ac:dyDescent="0.35">
      <c r="A10" s="97" t="s">
        <v>184</v>
      </c>
      <c r="B10" s="3">
        <f>[1]Halepensis!H10</f>
        <v>0</v>
      </c>
      <c r="C10" s="85">
        <f t="shared" si="0"/>
        <v>0</v>
      </c>
      <c r="D10" s="86">
        <f t="shared" si="1"/>
        <v>0</v>
      </c>
      <c r="E10" s="99">
        <f t="shared" si="2"/>
        <v>0</v>
      </c>
      <c r="F10" s="88" t="str">
        <f>[1]Halepensis!I10</f>
        <v>0</v>
      </c>
      <c r="G10" s="98">
        <f t="shared" si="3"/>
        <v>0</v>
      </c>
      <c r="H10" s="85">
        <f t="shared" si="4"/>
        <v>0</v>
      </c>
      <c r="I10" s="89" t="str">
        <f>[1]Halepensis!J10</f>
        <v>0</v>
      </c>
      <c r="J10" s="90">
        <f t="shared" si="5"/>
        <v>0</v>
      </c>
      <c r="K10" s="91">
        <f>R3*(H10^S3)*(I10^T3)/1000</f>
        <v>0</v>
      </c>
      <c r="L10" s="92">
        <f t="shared" si="6"/>
        <v>0</v>
      </c>
      <c r="M10" s="93">
        <v>0</v>
      </c>
      <c r="N10" s="94">
        <f t="shared" si="7"/>
        <v>0</v>
      </c>
      <c r="O10" s="91">
        <f>R3*(N10^S3)*(I10^T3)/1000</f>
        <v>0</v>
      </c>
      <c r="P10" s="91">
        <f t="shared" si="8"/>
        <v>0</v>
      </c>
      <c r="Q10" s="91">
        <f t="shared" si="15"/>
        <v>0</v>
      </c>
      <c r="R10">
        <v>4.5300000000000003E-5</v>
      </c>
      <c r="S10">
        <v>2.3312400000000002</v>
      </c>
      <c r="U10" s="91">
        <f t="shared" si="9"/>
        <v>0</v>
      </c>
      <c r="V10" s="92">
        <f t="shared" si="13"/>
        <v>0</v>
      </c>
      <c r="W10" s="91">
        <f t="shared" si="10"/>
        <v>0</v>
      </c>
      <c r="X10" s="91">
        <f t="shared" si="11"/>
        <v>0</v>
      </c>
      <c r="Y10" s="95">
        <f t="shared" si="12"/>
        <v>10.454000000000001</v>
      </c>
      <c r="Z10" s="96">
        <f t="shared" si="14"/>
        <v>0</v>
      </c>
    </row>
    <row r="11" spans="1:26" x14ac:dyDescent="0.35">
      <c r="A11" s="100" t="s">
        <v>185</v>
      </c>
      <c r="B11" s="38">
        <f>[1]Halepensis!H11</f>
        <v>0</v>
      </c>
      <c r="C11" s="101">
        <f t="shared" si="0"/>
        <v>0</v>
      </c>
      <c r="D11" s="102">
        <f t="shared" si="1"/>
        <v>0</v>
      </c>
      <c r="E11" s="99">
        <f t="shared" si="2"/>
        <v>0</v>
      </c>
      <c r="F11" s="103" t="str">
        <f>[1]Halepensis!I11</f>
        <v>0</v>
      </c>
      <c r="G11" s="104">
        <f t="shared" si="3"/>
        <v>0</v>
      </c>
      <c r="H11" s="101">
        <f t="shared" si="4"/>
        <v>0</v>
      </c>
      <c r="I11" s="105" t="str">
        <f>[1]Halepensis!J11</f>
        <v>0</v>
      </c>
      <c r="J11" s="106">
        <f t="shared" si="5"/>
        <v>0</v>
      </c>
      <c r="K11" s="91">
        <f>$R$3*(H11^$S$3)*(I11^$T$3)/1000</f>
        <v>0</v>
      </c>
      <c r="L11" s="92">
        <f t="shared" si="6"/>
        <v>0</v>
      </c>
      <c r="M11" s="93">
        <v>0</v>
      </c>
      <c r="N11" s="94">
        <f t="shared" si="7"/>
        <v>0</v>
      </c>
      <c r="O11" s="91">
        <f>R3*(N11^S3)*(I11^T3)/1000</f>
        <v>0</v>
      </c>
      <c r="P11" s="91">
        <f t="shared" si="8"/>
        <v>0</v>
      </c>
      <c r="Q11" s="91">
        <f t="shared" si="15"/>
        <v>0</v>
      </c>
      <c r="U11" s="91">
        <f t="shared" si="9"/>
        <v>0</v>
      </c>
      <c r="V11" s="92">
        <f t="shared" si="13"/>
        <v>0</v>
      </c>
      <c r="W11" s="91">
        <f t="shared" si="10"/>
        <v>0</v>
      </c>
      <c r="X11" s="91">
        <f t="shared" si="11"/>
        <v>0</v>
      </c>
      <c r="Y11" s="95">
        <f t="shared" si="12"/>
        <v>10.454000000000001</v>
      </c>
      <c r="Z11" s="96">
        <f t="shared" si="14"/>
        <v>0</v>
      </c>
    </row>
    <row r="12" spans="1:26" x14ac:dyDescent="0.35">
      <c r="A12" s="107" t="s">
        <v>186</v>
      </c>
      <c r="B12" s="38">
        <f>[1]Halepensis!H12</f>
        <v>0</v>
      </c>
      <c r="C12" s="101">
        <f t="shared" si="0"/>
        <v>0</v>
      </c>
      <c r="D12" s="102">
        <f t="shared" si="1"/>
        <v>0</v>
      </c>
      <c r="E12" s="99">
        <f t="shared" si="2"/>
        <v>0</v>
      </c>
      <c r="F12" s="103" t="str">
        <f>[1]Halepensis!I12</f>
        <v>0</v>
      </c>
      <c r="G12" s="104">
        <f t="shared" si="3"/>
        <v>0</v>
      </c>
      <c r="H12" s="101">
        <f t="shared" si="4"/>
        <v>0</v>
      </c>
      <c r="I12" s="105" t="str">
        <f>[1]Halepensis!J12</f>
        <v>0</v>
      </c>
      <c r="J12" s="106">
        <f t="shared" si="5"/>
        <v>0</v>
      </c>
      <c r="K12" s="91">
        <f t="shared" ref="K12:K14" si="16">$R$3*(H12^$S$3)*(I12^$T$3)/1000</f>
        <v>0</v>
      </c>
      <c r="L12" s="92">
        <f t="shared" si="6"/>
        <v>0</v>
      </c>
      <c r="M12" s="93">
        <v>0</v>
      </c>
      <c r="N12" s="94">
        <f t="shared" si="7"/>
        <v>0</v>
      </c>
      <c r="O12" s="91">
        <f>$R$3*(N12^$S$3)*(I12^$T$3)/1000</f>
        <v>0</v>
      </c>
      <c r="P12" s="91">
        <f t="shared" si="8"/>
        <v>0</v>
      </c>
      <c r="Q12" s="91">
        <f t="shared" si="15"/>
        <v>0</v>
      </c>
      <c r="U12" s="91">
        <f t="shared" si="9"/>
        <v>0</v>
      </c>
      <c r="V12" s="92">
        <f t="shared" si="13"/>
        <v>0</v>
      </c>
      <c r="W12" s="91">
        <f t="shared" si="10"/>
        <v>0</v>
      </c>
      <c r="X12" s="91">
        <f t="shared" si="11"/>
        <v>0</v>
      </c>
      <c r="Y12" s="95">
        <f t="shared" si="12"/>
        <v>10.454000000000001</v>
      </c>
      <c r="Z12" s="96">
        <f t="shared" si="14"/>
        <v>0</v>
      </c>
    </row>
    <row r="13" spans="1:26" x14ac:dyDescent="0.35">
      <c r="A13" s="108" t="s">
        <v>187</v>
      </c>
      <c r="B13" s="38">
        <f>[1]Halepensis!H13</f>
        <v>0</v>
      </c>
      <c r="C13" s="101">
        <f t="shared" si="0"/>
        <v>0</v>
      </c>
      <c r="D13" s="102">
        <f t="shared" si="1"/>
        <v>0</v>
      </c>
      <c r="E13" s="99">
        <f t="shared" si="2"/>
        <v>0</v>
      </c>
      <c r="F13" s="103" t="str">
        <f>[1]Halepensis!I13</f>
        <v>0</v>
      </c>
      <c r="G13" s="104">
        <f t="shared" si="3"/>
        <v>0</v>
      </c>
      <c r="H13" s="101">
        <f t="shared" si="4"/>
        <v>0</v>
      </c>
      <c r="I13" s="105" t="str">
        <f>[1]Halepensis!J13</f>
        <v>0</v>
      </c>
      <c r="J13" s="106">
        <f t="shared" si="5"/>
        <v>0</v>
      </c>
      <c r="K13" s="91">
        <f t="shared" si="16"/>
        <v>0</v>
      </c>
      <c r="L13" s="92">
        <f t="shared" si="6"/>
        <v>0</v>
      </c>
      <c r="M13" s="93">
        <v>0</v>
      </c>
      <c r="N13" s="94">
        <f t="shared" si="7"/>
        <v>0</v>
      </c>
      <c r="O13" s="91">
        <f t="shared" ref="O13:O14" si="17">$R$3*(N13^$S$3)*(I13^$T$3)/1000</f>
        <v>0</v>
      </c>
      <c r="P13" s="91">
        <f t="shared" si="8"/>
        <v>0</v>
      </c>
      <c r="Q13" s="91">
        <f t="shared" si="15"/>
        <v>0</v>
      </c>
      <c r="U13" s="91">
        <f t="shared" si="9"/>
        <v>0</v>
      </c>
      <c r="V13" s="92">
        <f t="shared" si="13"/>
        <v>0</v>
      </c>
      <c r="W13" s="91">
        <f t="shared" si="10"/>
        <v>0</v>
      </c>
      <c r="X13" s="91">
        <f t="shared" si="11"/>
        <v>0</v>
      </c>
      <c r="Y13" s="95">
        <f t="shared" si="12"/>
        <v>10.454000000000001</v>
      </c>
      <c r="Z13" s="96">
        <f t="shared" si="14"/>
        <v>0</v>
      </c>
    </row>
    <row r="14" spans="1:26" ht="15" thickBot="1" x14ac:dyDescent="0.4">
      <c r="A14" s="109" t="s">
        <v>188</v>
      </c>
      <c r="B14" s="38">
        <f>[1]Halepensis!H14</f>
        <v>0</v>
      </c>
      <c r="C14" s="101">
        <f t="shared" si="0"/>
        <v>0</v>
      </c>
      <c r="D14" s="102">
        <f t="shared" si="1"/>
        <v>0</v>
      </c>
      <c r="E14" s="99">
        <f t="shared" si="2"/>
        <v>0</v>
      </c>
      <c r="F14" s="103" t="str">
        <f>[1]Halepensis!I14</f>
        <v>0</v>
      </c>
      <c r="G14" s="104">
        <f t="shared" si="3"/>
        <v>0</v>
      </c>
      <c r="H14" s="101">
        <f t="shared" si="4"/>
        <v>0</v>
      </c>
      <c r="I14" s="105" t="str">
        <f>[1]Halepensis!J14</f>
        <v>0</v>
      </c>
      <c r="J14" s="106">
        <f t="shared" si="5"/>
        <v>0</v>
      </c>
      <c r="K14" s="99">
        <f t="shared" si="16"/>
        <v>0</v>
      </c>
      <c r="L14" s="110">
        <f t="shared" si="6"/>
        <v>0</v>
      </c>
      <c r="M14" s="93">
        <f>[1]Halepensis!K14</f>
        <v>0</v>
      </c>
      <c r="N14" s="94">
        <f t="shared" si="7"/>
        <v>0</v>
      </c>
      <c r="O14" s="91">
        <f t="shared" si="17"/>
        <v>0</v>
      </c>
      <c r="P14" s="91">
        <f t="shared" si="8"/>
        <v>0</v>
      </c>
      <c r="Q14" s="99">
        <f t="shared" si="15"/>
        <v>0</v>
      </c>
      <c r="U14" s="91">
        <f t="shared" si="9"/>
        <v>0</v>
      </c>
      <c r="V14" s="92">
        <f t="shared" si="13"/>
        <v>0</v>
      </c>
      <c r="W14" s="91">
        <f t="shared" si="10"/>
        <v>0</v>
      </c>
      <c r="X14" s="91">
        <f t="shared" si="11"/>
        <v>0</v>
      </c>
      <c r="Y14" s="95">
        <f t="shared" si="12"/>
        <v>10.454000000000001</v>
      </c>
      <c r="Z14" s="96">
        <f t="shared" si="14"/>
        <v>0</v>
      </c>
    </row>
    <row r="15" spans="1:26" s="123" customFormat="1" ht="15" thickBot="1" x14ac:dyDescent="0.4">
      <c r="A15" s="111" t="s">
        <v>189</v>
      </c>
      <c r="B15" s="112">
        <f>SUM(B4:B11)</f>
        <v>1</v>
      </c>
      <c r="C15" s="113">
        <f t="shared" si="0"/>
        <v>14.147072970602382</v>
      </c>
      <c r="D15" s="114">
        <f>(PI()*(G15^2)/4)/10000</f>
        <v>1.6604228236091596E-2</v>
      </c>
      <c r="E15" s="115">
        <f>SUM(E4:E11)</f>
        <v>0.23490122847652428</v>
      </c>
      <c r="F15" s="116"/>
      <c r="G15" s="117">
        <f>SUM(G4:G11)/SUM(B4:B11)</f>
        <v>14.54</v>
      </c>
      <c r="H15" s="118">
        <f>G15*10</f>
        <v>145.39999999999998</v>
      </c>
      <c r="I15" s="119"/>
      <c r="J15" s="120">
        <f>SUM(J4:J11)/SUM(B4:B11)</f>
        <v>7.14</v>
      </c>
      <c r="K15" s="114">
        <f>(K4*B4)+(K5*B5)+(K6*B6)+(K7*B7)+(K8*B8)+(K9*B9)+(K10*B10)+(K11*B11)+(K12*B12)+(K13*B13)+(K14*B14)</f>
        <v>4.5055518374514679E-2</v>
      </c>
      <c r="L15" s="117">
        <f>SUM(L4:L11)</f>
        <v>0.63740370617257558</v>
      </c>
      <c r="M15" s="121"/>
      <c r="N15" s="121"/>
      <c r="O15" s="121"/>
      <c r="P15" s="121"/>
      <c r="Q15" s="117">
        <f>SUM(Q4:Q11)</f>
        <v>0</v>
      </c>
      <c r="R15" s="122"/>
      <c r="U15" s="124">
        <f>((U4*B4)+(U5*B5)+(U6*B6)+(U7*B7)+(U8*B8))/B15</f>
        <v>4.9837339389628178E-3</v>
      </c>
      <c r="V15" s="125">
        <f>SUM(V4:V11)</f>
        <v>7.0505247700574619E-2</v>
      </c>
      <c r="W15" s="125"/>
      <c r="X15" s="126">
        <f>SUM(X4:X11)</f>
        <v>0</v>
      </c>
      <c r="Y15" s="127">
        <f t="shared" ref="Y15:Z15" si="18">SUM(Y2:Y11)</f>
        <v>111.70282466272002</v>
      </c>
      <c r="Z15" s="128">
        <f t="shared" si="18"/>
        <v>0.54501350568316209</v>
      </c>
    </row>
    <row r="16" spans="1:26" ht="15" thickBot="1" x14ac:dyDescent="0.4">
      <c r="A16" s="382" t="s">
        <v>190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X16" s="95"/>
    </row>
    <row r="17" spans="1:17" ht="15" thickBot="1" x14ac:dyDescent="0.4">
      <c r="A17" s="383"/>
      <c r="B17" s="384"/>
    </row>
    <row r="18" spans="1:17" ht="19" thickBot="1" x14ac:dyDescent="0.5">
      <c r="A18" s="383"/>
      <c r="B18" s="384"/>
      <c r="C18" s="385" t="s">
        <v>191</v>
      </c>
      <c r="D18" s="385"/>
      <c r="E18" s="385"/>
      <c r="M18" s="130">
        <f>L5+V5</f>
        <v>0.70790895387315023</v>
      </c>
      <c r="N18">
        <v>6000</v>
      </c>
      <c r="O18">
        <f>M18*N18</f>
        <v>4247.4537232389011</v>
      </c>
      <c r="P18">
        <v>875</v>
      </c>
      <c r="Q18">
        <f>O18*P18/1000</f>
        <v>3716.5220078340385</v>
      </c>
    </row>
    <row r="19" spans="1:17" x14ac:dyDescent="0.35">
      <c r="A19" s="383"/>
      <c r="B19" s="383"/>
    </row>
    <row r="22" spans="1:17" x14ac:dyDescent="0.35">
      <c r="P22" s="386" t="s">
        <v>192</v>
      </c>
      <c r="Q22" s="386"/>
    </row>
    <row r="23" spans="1:17" x14ac:dyDescent="0.35">
      <c r="P23" s="386"/>
      <c r="Q23" s="386"/>
    </row>
    <row r="24" spans="1:17" x14ac:dyDescent="0.35">
      <c r="P24">
        <v>55.2</v>
      </c>
      <c r="Q24" s="129">
        <v>0</v>
      </c>
    </row>
    <row r="25" spans="1:17" x14ac:dyDescent="0.35">
      <c r="M25" s="129"/>
      <c r="P25">
        <v>63.48</v>
      </c>
      <c r="Q25" s="129">
        <v>0.15</v>
      </c>
    </row>
    <row r="26" spans="1:17" x14ac:dyDescent="0.35">
      <c r="M26" s="129"/>
      <c r="P26">
        <f>1.3*P24</f>
        <v>71.760000000000005</v>
      </c>
      <c r="Q26" s="129">
        <v>0.3</v>
      </c>
    </row>
    <row r="27" spans="1:17" x14ac:dyDescent="0.35">
      <c r="M27" s="129"/>
      <c r="P27">
        <f>1.45*P24</f>
        <v>80.040000000000006</v>
      </c>
      <c r="Q27" s="129">
        <v>0.45</v>
      </c>
    </row>
  </sheetData>
  <mergeCells count="29">
    <mergeCell ref="A16:Q16"/>
    <mergeCell ref="A17:A19"/>
    <mergeCell ref="B17:B19"/>
    <mergeCell ref="C18:E18"/>
    <mergeCell ref="P22:Q23"/>
    <mergeCell ref="W1:W3"/>
    <mergeCell ref="X1:X3"/>
    <mergeCell ref="Y1:Y3"/>
    <mergeCell ref="Z1:Z3"/>
    <mergeCell ref="R4:T4"/>
    <mergeCell ref="U1:U3"/>
    <mergeCell ref="V1:V3"/>
    <mergeCell ref="R8:S8"/>
    <mergeCell ref="O1:O3"/>
    <mergeCell ref="P1:P3"/>
    <mergeCell ref="Q1:Q3"/>
    <mergeCell ref="R1:T1"/>
    <mergeCell ref="N1:N3"/>
    <mergeCell ref="A1:A3"/>
    <mergeCell ref="B1:B3"/>
    <mergeCell ref="C1:C3"/>
    <mergeCell ref="D1:D3"/>
    <mergeCell ref="E1:E3"/>
    <mergeCell ref="F1:G2"/>
    <mergeCell ref="H1:H3"/>
    <mergeCell ref="I1:J2"/>
    <mergeCell ref="K1:K3"/>
    <mergeCell ref="L1:L3"/>
    <mergeCell ref="M1:M3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64" zoomScale="76" zoomScaleNormal="100" zoomScalePageLayoutView="76" workbookViewId="0">
      <selection activeCell="B101" sqref="B101"/>
    </sheetView>
  </sheetViews>
  <sheetFormatPr baseColWidth="10" defaultColWidth="8.7265625" defaultRowHeight="14.5" x14ac:dyDescent="0.35"/>
  <cols>
    <col min="1" max="1" width="19.54296875" customWidth="1"/>
    <col min="2" max="2" width="16.1796875" customWidth="1"/>
    <col min="3" max="3" width="17.7265625" customWidth="1"/>
    <col min="4" max="4" width="10.6328125" customWidth="1"/>
    <col min="5" max="6" width="13.7265625" customWidth="1"/>
    <col min="7" max="7" width="14.7265625" customWidth="1"/>
    <col min="8" max="8" width="14.81640625" customWidth="1"/>
    <col min="9" max="9" width="15" customWidth="1"/>
    <col min="10" max="10" width="12.90625" customWidth="1"/>
    <col min="11" max="11" width="12.6328125" customWidth="1"/>
    <col min="12" max="12" width="19.36328125" customWidth="1"/>
  </cols>
  <sheetData>
    <row r="1" spans="1:13" ht="15" thickBot="1" x14ac:dyDescent="0.4">
      <c r="A1" s="40" t="s">
        <v>0</v>
      </c>
      <c r="B1" s="41" t="s">
        <v>1</v>
      </c>
      <c r="C1" s="41" t="s">
        <v>2</v>
      </c>
      <c r="D1" s="41" t="s">
        <v>3</v>
      </c>
      <c r="E1" s="41" t="s">
        <v>8</v>
      </c>
      <c r="F1" s="41" t="s">
        <v>7</v>
      </c>
      <c r="G1" s="41" t="s">
        <v>194</v>
      </c>
      <c r="H1" s="41" t="s">
        <v>9</v>
      </c>
      <c r="I1" s="41" t="s">
        <v>195</v>
      </c>
      <c r="J1" s="41" t="s">
        <v>238</v>
      </c>
      <c r="K1" s="41" t="s">
        <v>144</v>
      </c>
      <c r="L1" s="41" t="s">
        <v>4</v>
      </c>
      <c r="M1" s="215" t="s">
        <v>21</v>
      </c>
    </row>
    <row r="2" spans="1:13" ht="14.5" customHeight="1" x14ac:dyDescent="0.35">
      <c r="A2" s="221">
        <v>1</v>
      </c>
      <c r="B2" s="221">
        <v>125</v>
      </c>
      <c r="C2" s="221">
        <v>8</v>
      </c>
      <c r="D2" s="221"/>
      <c r="E2" s="221">
        <v>14</v>
      </c>
      <c r="F2" s="222">
        <v>22</v>
      </c>
      <c r="G2" s="222"/>
      <c r="H2" s="222"/>
      <c r="I2" s="222"/>
      <c r="J2" s="312">
        <f t="shared" ref="J2:J33" si="0">PI()*(((D2)/2)/100)^2+PI()*(((E2)/2)/100)^2+PI()*(((F2)/2)/100)^2+PI()*(((G2)/2)/100)^2+PI()*(((H2)/2)/100)^2+PI()*(((I2)/2)/100)^2</f>
        <v>5.3407075111026485E-2</v>
      </c>
      <c r="K2" s="221">
        <v>2</v>
      </c>
      <c r="L2" s="221" t="s">
        <v>76</v>
      </c>
      <c r="M2" s="223"/>
    </row>
    <row r="3" spans="1:13" ht="14.5" customHeight="1" x14ac:dyDescent="0.35">
      <c r="A3" s="139">
        <v>2</v>
      </c>
      <c r="B3" s="139">
        <v>125</v>
      </c>
      <c r="C3" s="139">
        <v>8.5</v>
      </c>
      <c r="D3" s="139"/>
      <c r="E3" s="139">
        <v>12</v>
      </c>
      <c r="F3" s="140">
        <v>17</v>
      </c>
      <c r="G3" s="140">
        <v>18</v>
      </c>
      <c r="H3" s="140"/>
      <c r="I3" s="140"/>
      <c r="J3" s="241">
        <f t="shared" si="0"/>
        <v>5.9454640969186838E-2</v>
      </c>
      <c r="K3" s="139"/>
      <c r="L3" s="139" t="s">
        <v>76</v>
      </c>
      <c r="M3" s="177"/>
    </row>
    <row r="4" spans="1:13" ht="14.5" customHeight="1" x14ac:dyDescent="0.35">
      <c r="A4" s="216">
        <v>3</v>
      </c>
      <c r="B4" s="216">
        <v>125</v>
      </c>
      <c r="C4" s="216">
        <v>7.5</v>
      </c>
      <c r="D4" s="216"/>
      <c r="E4" s="216">
        <v>5</v>
      </c>
      <c r="F4" s="217">
        <v>19</v>
      </c>
      <c r="G4" s="217"/>
      <c r="H4" s="217"/>
      <c r="I4" s="217"/>
      <c r="J4" s="347">
        <f t="shared" si="0"/>
        <v>3.0316369107141503E-2</v>
      </c>
      <c r="K4" s="216">
        <v>2</v>
      </c>
      <c r="L4" s="216" t="s">
        <v>73</v>
      </c>
      <c r="M4" s="224"/>
    </row>
    <row r="5" spans="1:13" ht="14.5" customHeight="1" x14ac:dyDescent="0.35">
      <c r="A5" s="139">
        <v>4</v>
      </c>
      <c r="B5" s="139">
        <v>46</v>
      </c>
      <c r="C5" s="139">
        <v>4.5</v>
      </c>
      <c r="D5" s="139"/>
      <c r="E5" s="139">
        <v>7</v>
      </c>
      <c r="F5" s="140">
        <v>5</v>
      </c>
      <c r="G5" s="140">
        <v>5</v>
      </c>
      <c r="H5" s="140">
        <v>8</v>
      </c>
      <c r="I5" s="140"/>
      <c r="J5" s="241">
        <f t="shared" si="0"/>
        <v>1.2801990063378408E-2</v>
      </c>
      <c r="K5" s="139"/>
      <c r="L5" s="139" t="s">
        <v>74</v>
      </c>
      <c r="M5" s="177"/>
    </row>
    <row r="6" spans="1:13" ht="14.5" customHeight="1" x14ac:dyDescent="0.35">
      <c r="A6" s="139">
        <v>5</v>
      </c>
      <c r="B6" s="139">
        <v>125</v>
      </c>
      <c r="C6" s="139">
        <v>8.5</v>
      </c>
      <c r="D6" s="139"/>
      <c r="E6" s="139">
        <v>16</v>
      </c>
      <c r="F6" s="140">
        <v>15</v>
      </c>
      <c r="G6" s="140"/>
      <c r="H6" s="140"/>
      <c r="I6" s="140"/>
      <c r="J6" s="241">
        <f t="shared" si="0"/>
        <v>3.7777651659417266E-2</v>
      </c>
      <c r="K6" s="139"/>
      <c r="L6" s="139" t="s">
        <v>13</v>
      </c>
      <c r="M6" s="177"/>
    </row>
    <row r="7" spans="1:13" ht="14.5" customHeight="1" x14ac:dyDescent="0.35">
      <c r="A7" s="139">
        <v>6</v>
      </c>
      <c r="B7" s="139">
        <v>125</v>
      </c>
      <c r="C7" s="139">
        <v>5</v>
      </c>
      <c r="D7" s="139">
        <v>7</v>
      </c>
      <c r="E7" s="139"/>
      <c r="F7" s="140"/>
      <c r="G7" s="140"/>
      <c r="H7" s="140"/>
      <c r="I7" s="140"/>
      <c r="J7" s="241">
        <f t="shared" si="0"/>
        <v>3.8484510006474969E-3</v>
      </c>
      <c r="K7" s="139"/>
      <c r="L7" s="139" t="s">
        <v>74</v>
      </c>
      <c r="M7" s="177"/>
    </row>
    <row r="8" spans="1:13" ht="14.5" customHeight="1" x14ac:dyDescent="0.35">
      <c r="A8" s="139">
        <v>7</v>
      </c>
      <c r="B8" s="139">
        <v>46</v>
      </c>
      <c r="C8" s="139">
        <v>5</v>
      </c>
      <c r="D8" s="139">
        <v>5</v>
      </c>
      <c r="E8" s="139"/>
      <c r="F8" s="140"/>
      <c r="G8" s="140"/>
      <c r="H8" s="140"/>
      <c r="I8" s="140"/>
      <c r="J8" s="241">
        <f t="shared" si="0"/>
        <v>1.9634954084936209E-3</v>
      </c>
      <c r="K8" s="139"/>
      <c r="L8" s="139" t="s">
        <v>74</v>
      </c>
      <c r="M8" s="177"/>
    </row>
    <row r="9" spans="1:13" x14ac:dyDescent="0.35">
      <c r="A9" s="139">
        <v>8</v>
      </c>
      <c r="B9" s="139">
        <v>43</v>
      </c>
      <c r="C9" s="139">
        <v>6</v>
      </c>
      <c r="D9" s="139"/>
      <c r="E9" s="139">
        <v>7</v>
      </c>
      <c r="F9" s="140">
        <v>8</v>
      </c>
      <c r="G9" s="140"/>
      <c r="H9" s="140"/>
      <c r="I9" s="140"/>
      <c r="J9" s="241">
        <f t="shared" si="0"/>
        <v>8.8749992463911659E-3</v>
      </c>
      <c r="K9" s="139"/>
      <c r="L9" s="139" t="s">
        <v>74</v>
      </c>
      <c r="M9" s="177"/>
    </row>
    <row r="10" spans="1:13" ht="14.5" customHeight="1" x14ac:dyDescent="0.35">
      <c r="A10" s="139">
        <v>9</v>
      </c>
      <c r="B10" s="139">
        <v>125</v>
      </c>
      <c r="C10" s="139">
        <v>9</v>
      </c>
      <c r="D10" s="139"/>
      <c r="E10" s="139">
        <v>8</v>
      </c>
      <c r="F10" s="140">
        <v>23</v>
      </c>
      <c r="G10" s="140"/>
      <c r="H10" s="140"/>
      <c r="I10" s="140"/>
      <c r="J10" s="241">
        <f t="shared" si="0"/>
        <v>4.6574111089468684E-2</v>
      </c>
      <c r="K10" s="139"/>
      <c r="L10" s="139" t="s">
        <v>78</v>
      </c>
      <c r="M10" s="177"/>
    </row>
    <row r="11" spans="1:13" ht="14.5" customHeight="1" x14ac:dyDescent="0.35">
      <c r="A11" s="139">
        <v>10</v>
      </c>
      <c r="B11" s="139">
        <v>125</v>
      </c>
      <c r="C11" s="139">
        <v>10</v>
      </c>
      <c r="D11" s="139"/>
      <c r="E11" s="139">
        <v>21</v>
      </c>
      <c r="F11" s="140">
        <v>10</v>
      </c>
      <c r="G11" s="140"/>
      <c r="H11" s="140"/>
      <c r="I11" s="140"/>
      <c r="J11" s="241">
        <f t="shared" si="0"/>
        <v>4.2490040639801954E-2</v>
      </c>
      <c r="K11" s="139"/>
      <c r="L11" s="139" t="s">
        <v>78</v>
      </c>
      <c r="M11" s="177" t="s">
        <v>80</v>
      </c>
    </row>
    <row r="12" spans="1:13" ht="14.5" customHeight="1" x14ac:dyDescent="0.35">
      <c r="A12" s="135">
        <v>11</v>
      </c>
      <c r="B12" s="135">
        <v>125</v>
      </c>
      <c r="C12" s="135">
        <v>9</v>
      </c>
      <c r="D12" s="135">
        <v>19</v>
      </c>
      <c r="E12" s="135"/>
      <c r="F12" s="136"/>
      <c r="G12" s="136"/>
      <c r="H12" s="136"/>
      <c r="I12" s="136"/>
      <c r="J12" s="244">
        <f t="shared" si="0"/>
        <v>2.8352873698647883E-2</v>
      </c>
      <c r="K12" s="135">
        <v>1</v>
      </c>
      <c r="L12" s="135" t="s">
        <v>76</v>
      </c>
      <c r="M12" s="182"/>
    </row>
    <row r="13" spans="1:13" ht="14.5" customHeight="1" x14ac:dyDescent="0.35">
      <c r="A13" s="139">
        <v>12</v>
      </c>
      <c r="B13" s="139">
        <v>125</v>
      </c>
      <c r="C13" s="139">
        <v>8.5</v>
      </c>
      <c r="D13" s="139"/>
      <c r="E13" s="139">
        <v>14</v>
      </c>
      <c r="F13" s="140">
        <v>5</v>
      </c>
      <c r="G13" s="140"/>
      <c r="H13" s="140"/>
      <c r="I13" s="140"/>
      <c r="J13" s="241">
        <f t="shared" si="0"/>
        <v>1.7357299411083608E-2</v>
      </c>
      <c r="K13" s="139"/>
      <c r="L13" s="139" t="s">
        <v>10</v>
      </c>
      <c r="M13" s="177"/>
    </row>
    <row r="14" spans="1:13" ht="14.5" customHeight="1" x14ac:dyDescent="0.35">
      <c r="A14" s="139">
        <v>13</v>
      </c>
      <c r="B14" s="139">
        <v>125</v>
      </c>
      <c r="C14" s="139">
        <v>8.5</v>
      </c>
      <c r="D14" s="139"/>
      <c r="E14" s="139">
        <v>11</v>
      </c>
      <c r="F14" s="140">
        <v>13</v>
      </c>
      <c r="G14" s="140"/>
      <c r="H14" s="140"/>
      <c r="I14" s="140"/>
      <c r="J14" s="241">
        <f t="shared" si="0"/>
        <v>2.2776546738526002E-2</v>
      </c>
      <c r="K14" s="139"/>
      <c r="L14" s="139" t="s">
        <v>13</v>
      </c>
      <c r="M14" s="177" t="s">
        <v>84</v>
      </c>
    </row>
    <row r="15" spans="1:13" ht="14.5" customHeight="1" x14ac:dyDescent="0.35">
      <c r="A15" s="216">
        <v>14</v>
      </c>
      <c r="B15" s="216">
        <v>125</v>
      </c>
      <c r="C15" s="216">
        <v>8</v>
      </c>
      <c r="D15" s="216"/>
      <c r="E15" s="216">
        <v>16</v>
      </c>
      <c r="F15" s="217">
        <v>14</v>
      </c>
      <c r="G15" s="217"/>
      <c r="H15" s="217"/>
      <c r="I15" s="217"/>
      <c r="J15" s="347">
        <f t="shared" si="0"/>
        <v>3.5499996985564664E-2</v>
      </c>
      <c r="K15" s="216">
        <v>2</v>
      </c>
      <c r="L15" s="216" t="s">
        <v>73</v>
      </c>
      <c r="M15" s="224"/>
    </row>
    <row r="16" spans="1:13" ht="14.5" customHeight="1" x14ac:dyDescent="0.35">
      <c r="A16" s="139">
        <v>15</v>
      </c>
      <c r="B16" s="139">
        <v>125</v>
      </c>
      <c r="C16" s="139">
        <v>3</v>
      </c>
      <c r="D16" s="139">
        <v>12</v>
      </c>
      <c r="E16" s="139"/>
      <c r="F16" s="140"/>
      <c r="G16" s="140"/>
      <c r="H16" s="140"/>
      <c r="I16" s="140"/>
      <c r="J16" s="241">
        <f t="shared" si="0"/>
        <v>1.1309733552923255E-2</v>
      </c>
      <c r="K16" s="139"/>
      <c r="L16" s="139" t="s">
        <v>75</v>
      </c>
      <c r="M16" s="177" t="s">
        <v>81</v>
      </c>
    </row>
    <row r="17" spans="1:13" ht="14.5" customHeight="1" x14ac:dyDescent="0.35">
      <c r="A17" s="139">
        <v>16</v>
      </c>
      <c r="B17" s="139">
        <v>125</v>
      </c>
      <c r="C17" s="139">
        <v>7</v>
      </c>
      <c r="D17" s="139">
        <v>12</v>
      </c>
      <c r="E17" s="139"/>
      <c r="F17" s="140"/>
      <c r="G17" s="140"/>
      <c r="H17" s="140"/>
      <c r="I17" s="140"/>
      <c r="J17" s="241">
        <f t="shared" si="0"/>
        <v>1.1309733552923255E-2</v>
      </c>
      <c r="K17" s="139"/>
      <c r="L17" s="139" t="s">
        <v>74</v>
      </c>
      <c r="M17" s="177"/>
    </row>
    <row r="18" spans="1:13" ht="14.5" customHeight="1" x14ac:dyDescent="0.35">
      <c r="A18" s="139">
        <v>17</v>
      </c>
      <c r="B18" s="139">
        <v>125</v>
      </c>
      <c r="C18" s="139">
        <v>8</v>
      </c>
      <c r="D18" s="139"/>
      <c r="E18" s="139">
        <v>3</v>
      </c>
      <c r="F18" s="140">
        <v>13</v>
      </c>
      <c r="G18" s="140">
        <v>8</v>
      </c>
      <c r="H18" s="140">
        <v>4</v>
      </c>
      <c r="I18" s="140">
        <v>12</v>
      </c>
      <c r="J18" s="241">
        <f t="shared" si="0"/>
        <v>3.1573006168577417E-2</v>
      </c>
      <c r="K18" s="139"/>
      <c r="L18" s="139" t="s">
        <v>73</v>
      </c>
      <c r="M18" s="177"/>
    </row>
    <row r="19" spans="1:13" ht="14.5" customHeight="1" x14ac:dyDescent="0.35">
      <c r="A19" s="135">
        <v>18</v>
      </c>
      <c r="B19" s="135">
        <v>125</v>
      </c>
      <c r="C19" s="135">
        <v>8.5</v>
      </c>
      <c r="D19" s="135">
        <v>19</v>
      </c>
      <c r="E19" s="135"/>
      <c r="F19" s="136"/>
      <c r="G19" s="136"/>
      <c r="H19" s="136"/>
      <c r="I19" s="136"/>
      <c r="J19" s="244">
        <f t="shared" si="0"/>
        <v>2.8352873698647883E-2</v>
      </c>
      <c r="K19" s="135">
        <v>1</v>
      </c>
      <c r="L19" s="135" t="s">
        <v>73</v>
      </c>
      <c r="M19" s="182"/>
    </row>
    <row r="20" spans="1:13" ht="14.5" customHeight="1" x14ac:dyDescent="0.35">
      <c r="A20" s="139">
        <v>19</v>
      </c>
      <c r="B20" s="139">
        <v>125</v>
      </c>
      <c r="C20" s="139">
        <v>2.5</v>
      </c>
      <c r="D20" s="139">
        <v>11</v>
      </c>
      <c r="E20" s="139"/>
      <c r="F20" s="140"/>
      <c r="G20" s="140"/>
      <c r="H20" s="140"/>
      <c r="I20" s="140"/>
      <c r="J20" s="241">
        <f t="shared" si="0"/>
        <v>9.5033177771091243E-3</v>
      </c>
      <c r="K20" s="139"/>
      <c r="L20" s="139" t="s">
        <v>75</v>
      </c>
      <c r="M20" s="177" t="s">
        <v>84</v>
      </c>
    </row>
    <row r="21" spans="1:13" ht="14.5" customHeight="1" x14ac:dyDescent="0.35">
      <c r="A21" s="135">
        <v>20</v>
      </c>
      <c r="B21" s="135">
        <v>125</v>
      </c>
      <c r="C21" s="135">
        <v>9.5</v>
      </c>
      <c r="D21" s="135">
        <v>24</v>
      </c>
      <c r="E21" s="135"/>
      <c r="F21" s="136"/>
      <c r="G21" s="136"/>
      <c r="H21" s="136"/>
      <c r="I21" s="136"/>
      <c r="J21" s="244">
        <f t="shared" si="0"/>
        <v>4.5238934211693019E-2</v>
      </c>
      <c r="K21" s="135">
        <v>1</v>
      </c>
      <c r="L21" s="135" t="s">
        <v>12</v>
      </c>
      <c r="M21" s="182"/>
    </row>
    <row r="22" spans="1:13" ht="14.5" customHeight="1" x14ac:dyDescent="0.35">
      <c r="A22" s="139">
        <v>21</v>
      </c>
      <c r="B22" s="139">
        <v>46</v>
      </c>
      <c r="C22" s="139">
        <v>2.5</v>
      </c>
      <c r="D22" s="139">
        <v>5</v>
      </c>
      <c r="E22" s="139"/>
      <c r="F22" s="140"/>
      <c r="G22" s="140"/>
      <c r="H22" s="140"/>
      <c r="I22" s="140"/>
      <c r="J22" s="241">
        <f t="shared" si="0"/>
        <v>1.9634954084936209E-3</v>
      </c>
      <c r="K22" s="139"/>
      <c r="L22" s="139" t="s">
        <v>74</v>
      </c>
      <c r="M22" s="177"/>
    </row>
    <row r="23" spans="1:13" ht="14.5" customHeight="1" x14ac:dyDescent="0.35">
      <c r="A23" s="139">
        <v>22</v>
      </c>
      <c r="B23" s="139">
        <v>46</v>
      </c>
      <c r="C23" s="139">
        <v>3</v>
      </c>
      <c r="D23" s="139">
        <v>5</v>
      </c>
      <c r="E23" s="139"/>
      <c r="F23" s="140"/>
      <c r="G23" s="140"/>
      <c r="H23" s="140"/>
      <c r="I23" s="140"/>
      <c r="J23" s="241">
        <f t="shared" si="0"/>
        <v>1.9634954084936209E-3</v>
      </c>
      <c r="K23" s="139"/>
      <c r="L23" s="139" t="s">
        <v>74</v>
      </c>
      <c r="M23" s="177"/>
    </row>
    <row r="24" spans="1:13" ht="14.5" customHeight="1" x14ac:dyDescent="0.35">
      <c r="A24" s="139">
        <v>23</v>
      </c>
      <c r="B24" s="139">
        <v>125</v>
      </c>
      <c r="C24" s="139">
        <v>7</v>
      </c>
      <c r="D24" s="139">
        <v>9</v>
      </c>
      <c r="E24" s="139"/>
      <c r="F24" s="140"/>
      <c r="G24" s="140"/>
      <c r="H24" s="140"/>
      <c r="I24" s="140"/>
      <c r="J24" s="241">
        <f t="shared" si="0"/>
        <v>6.3617251235193305E-3</v>
      </c>
      <c r="K24" s="139"/>
      <c r="L24" s="139" t="s">
        <v>74</v>
      </c>
      <c r="M24" s="177"/>
    </row>
    <row r="25" spans="1:13" ht="14.5" customHeight="1" x14ac:dyDescent="0.35">
      <c r="A25" s="135">
        <v>24</v>
      </c>
      <c r="B25" s="135">
        <v>125</v>
      </c>
      <c r="C25" s="135">
        <v>10</v>
      </c>
      <c r="D25" s="135">
        <v>26</v>
      </c>
      <c r="E25" s="135"/>
      <c r="F25" s="136"/>
      <c r="G25" s="136"/>
      <c r="H25" s="136"/>
      <c r="I25" s="136"/>
      <c r="J25" s="244">
        <f t="shared" si="0"/>
        <v>5.3092915845667513E-2</v>
      </c>
      <c r="K25" s="135">
        <v>1</v>
      </c>
      <c r="L25" s="135" t="s">
        <v>78</v>
      </c>
      <c r="M25" s="182"/>
    </row>
    <row r="26" spans="1:13" ht="14.5" customHeight="1" x14ac:dyDescent="0.35">
      <c r="A26" s="139">
        <v>25</v>
      </c>
      <c r="B26" s="139">
        <v>112</v>
      </c>
      <c r="C26" s="139">
        <v>5.5</v>
      </c>
      <c r="D26" s="139">
        <v>7</v>
      </c>
      <c r="E26" s="139"/>
      <c r="F26" s="140"/>
      <c r="G26" s="140"/>
      <c r="H26" s="140"/>
      <c r="I26" s="140"/>
      <c r="J26" s="241">
        <f t="shared" si="0"/>
        <v>3.8484510006474969E-3</v>
      </c>
      <c r="K26" s="139"/>
      <c r="L26" s="139" t="s">
        <v>74</v>
      </c>
      <c r="M26" s="177"/>
    </row>
    <row r="27" spans="1:13" ht="14.5" customHeight="1" x14ac:dyDescent="0.35">
      <c r="A27" s="139">
        <v>26</v>
      </c>
      <c r="B27" s="139">
        <v>112</v>
      </c>
      <c r="C27" s="139">
        <v>9</v>
      </c>
      <c r="D27" s="139">
        <v>21</v>
      </c>
      <c r="E27" s="139"/>
      <c r="F27" s="140"/>
      <c r="G27" s="140"/>
      <c r="H27" s="140"/>
      <c r="I27" s="140"/>
      <c r="J27" s="241">
        <f t="shared" si="0"/>
        <v>3.4636059005827467E-2</v>
      </c>
      <c r="K27" s="139"/>
      <c r="L27" s="139" t="s">
        <v>78</v>
      </c>
      <c r="M27" s="177"/>
    </row>
    <row r="28" spans="1:13" ht="14.5" customHeight="1" x14ac:dyDescent="0.35">
      <c r="A28" s="139">
        <v>27</v>
      </c>
      <c r="B28" s="139">
        <v>125</v>
      </c>
      <c r="C28" s="139">
        <v>9.5</v>
      </c>
      <c r="D28" s="139"/>
      <c r="E28" s="139">
        <v>12</v>
      </c>
      <c r="F28" s="140">
        <v>15</v>
      </c>
      <c r="G28" s="140">
        <v>14</v>
      </c>
      <c r="H28" s="140">
        <v>8</v>
      </c>
      <c r="I28" s="140"/>
      <c r="J28" s="241">
        <f t="shared" si="0"/>
        <v>4.9401544477699497E-2</v>
      </c>
      <c r="K28" s="139"/>
      <c r="L28" s="139" t="s">
        <v>76</v>
      </c>
      <c r="M28" s="177"/>
    </row>
    <row r="29" spans="1:13" ht="14.5" customHeight="1" x14ac:dyDescent="0.35">
      <c r="A29" s="139">
        <v>28</v>
      </c>
      <c r="B29" s="139">
        <v>125</v>
      </c>
      <c r="C29" s="139">
        <v>9</v>
      </c>
      <c r="D29" s="139">
        <v>20</v>
      </c>
      <c r="E29" s="139"/>
      <c r="F29" s="140"/>
      <c r="G29" s="140"/>
      <c r="H29" s="140"/>
      <c r="I29" s="140"/>
      <c r="J29" s="241">
        <f t="shared" si="0"/>
        <v>3.1415926535897934E-2</v>
      </c>
      <c r="K29" s="139"/>
      <c r="L29" s="139" t="s">
        <v>73</v>
      </c>
      <c r="M29" s="177"/>
    </row>
    <row r="30" spans="1:13" ht="14.5" customHeight="1" x14ac:dyDescent="0.35">
      <c r="A30" s="139">
        <v>29</v>
      </c>
      <c r="B30" s="139">
        <v>125</v>
      </c>
      <c r="C30" s="139">
        <v>7</v>
      </c>
      <c r="D30" s="139">
        <v>12</v>
      </c>
      <c r="E30" s="139"/>
      <c r="F30" s="140"/>
      <c r="G30" s="140"/>
      <c r="H30" s="140"/>
      <c r="I30" s="140"/>
      <c r="J30" s="241">
        <f t="shared" si="0"/>
        <v>1.1309733552923255E-2</v>
      </c>
      <c r="K30" s="139"/>
      <c r="L30" s="139" t="s">
        <v>74</v>
      </c>
      <c r="M30" s="177"/>
    </row>
    <row r="31" spans="1:13" ht="14.5" customHeight="1" x14ac:dyDescent="0.35">
      <c r="A31" s="139">
        <v>30</v>
      </c>
      <c r="B31" s="139">
        <v>125</v>
      </c>
      <c r="C31" s="139">
        <v>11.5</v>
      </c>
      <c r="D31" s="139">
        <v>20</v>
      </c>
      <c r="E31" s="139"/>
      <c r="F31" s="140"/>
      <c r="G31" s="140"/>
      <c r="H31" s="140"/>
      <c r="I31" s="140"/>
      <c r="J31" s="241">
        <f t="shared" si="0"/>
        <v>3.1415926535897934E-2</v>
      </c>
      <c r="K31" s="139"/>
      <c r="L31" s="139" t="s">
        <v>78</v>
      </c>
      <c r="M31" s="177"/>
    </row>
    <row r="32" spans="1:13" ht="14.5" customHeight="1" x14ac:dyDescent="0.35">
      <c r="A32" s="139">
        <v>31</v>
      </c>
      <c r="B32" s="139">
        <v>125</v>
      </c>
      <c r="C32" s="139">
        <v>9</v>
      </c>
      <c r="D32" s="139">
        <v>22</v>
      </c>
      <c r="E32" s="139"/>
      <c r="F32" s="140"/>
      <c r="G32" s="140"/>
      <c r="H32" s="140"/>
      <c r="I32" s="140"/>
      <c r="J32" s="241">
        <f t="shared" si="0"/>
        <v>3.8013271108436497E-2</v>
      </c>
      <c r="K32" s="139"/>
      <c r="L32" s="139" t="s">
        <v>78</v>
      </c>
      <c r="M32" s="177"/>
    </row>
    <row r="33" spans="1:13" ht="14.5" customHeight="1" x14ac:dyDescent="0.35">
      <c r="A33" s="139">
        <v>32</v>
      </c>
      <c r="B33" s="139">
        <v>125</v>
      </c>
      <c r="C33" s="139">
        <v>3</v>
      </c>
      <c r="D33" s="139">
        <v>6</v>
      </c>
      <c r="E33" s="139"/>
      <c r="F33" s="140"/>
      <c r="G33" s="140"/>
      <c r="H33" s="140"/>
      <c r="I33" s="140"/>
      <c r="J33" s="241">
        <f t="shared" si="0"/>
        <v>2.8274333882308137E-3</v>
      </c>
      <c r="K33" s="139"/>
      <c r="L33" s="139" t="s">
        <v>75</v>
      </c>
      <c r="M33" s="177" t="s">
        <v>16</v>
      </c>
    </row>
    <row r="34" spans="1:13" ht="14.5" customHeight="1" x14ac:dyDescent="0.35">
      <c r="A34" s="139">
        <v>33</v>
      </c>
      <c r="B34" s="139">
        <v>113</v>
      </c>
      <c r="C34" s="139"/>
      <c r="D34" s="139">
        <v>22</v>
      </c>
      <c r="E34" s="139"/>
      <c r="F34" s="140"/>
      <c r="G34" s="140"/>
      <c r="H34" s="140"/>
      <c r="I34" s="140"/>
      <c r="J34" s="241">
        <f t="shared" ref="J34:J65" si="1">PI()*(((D34)/2)/100)^2+PI()*(((E34)/2)/100)^2+PI()*(((F34)/2)/100)^2+PI()*(((G34)/2)/100)^2+PI()*(((H34)/2)/100)^2+PI()*(((I34)/2)/100)^2</f>
        <v>3.8013271108436497E-2</v>
      </c>
      <c r="K34" s="139"/>
      <c r="L34" s="139" t="s">
        <v>78</v>
      </c>
      <c r="M34" s="228" t="s">
        <v>198</v>
      </c>
    </row>
    <row r="35" spans="1:13" ht="14.5" customHeight="1" x14ac:dyDescent="0.35">
      <c r="A35" s="139">
        <v>34</v>
      </c>
      <c r="B35" s="139">
        <v>125</v>
      </c>
      <c r="C35" s="139">
        <v>7</v>
      </c>
      <c r="D35" s="139">
        <v>15</v>
      </c>
      <c r="E35" s="139"/>
      <c r="F35" s="140"/>
      <c r="G35" s="140"/>
      <c r="H35" s="140"/>
      <c r="I35" s="140"/>
      <c r="J35" s="241">
        <f t="shared" si="1"/>
        <v>1.7671458676442587E-2</v>
      </c>
      <c r="K35" s="139"/>
      <c r="L35" s="139" t="s">
        <v>74</v>
      </c>
      <c r="M35" s="177"/>
    </row>
    <row r="36" spans="1:13" ht="14.5" customHeight="1" x14ac:dyDescent="0.35">
      <c r="A36" s="139">
        <v>35</v>
      </c>
      <c r="B36" s="139">
        <v>125</v>
      </c>
      <c r="C36" s="139">
        <v>9</v>
      </c>
      <c r="D36" s="139">
        <v>20</v>
      </c>
      <c r="E36" s="139"/>
      <c r="F36" s="140"/>
      <c r="G36" s="140"/>
      <c r="H36" s="140"/>
      <c r="I36" s="140"/>
      <c r="J36" s="241">
        <f t="shared" si="1"/>
        <v>3.1415926535897934E-2</v>
      </c>
      <c r="K36" s="139"/>
      <c r="L36" s="139" t="s">
        <v>76</v>
      </c>
      <c r="M36" s="177"/>
    </row>
    <row r="37" spans="1:13" ht="14.5" customHeight="1" x14ac:dyDescent="0.35">
      <c r="A37" s="139">
        <v>36</v>
      </c>
      <c r="B37" s="139">
        <v>46</v>
      </c>
      <c r="C37" s="139">
        <v>3</v>
      </c>
      <c r="D37" s="139">
        <v>13</v>
      </c>
      <c r="E37" s="139"/>
      <c r="F37" s="140"/>
      <c r="G37" s="140"/>
      <c r="H37" s="140"/>
      <c r="I37" s="140"/>
      <c r="J37" s="241">
        <f t="shared" si="1"/>
        <v>1.3273228961416878E-2</v>
      </c>
      <c r="K37" s="139"/>
      <c r="L37" s="139" t="s">
        <v>74</v>
      </c>
      <c r="M37" s="177"/>
    </row>
    <row r="38" spans="1:13" ht="14.5" customHeight="1" x14ac:dyDescent="0.35">
      <c r="A38" s="139">
        <v>37</v>
      </c>
      <c r="B38" s="139">
        <v>125</v>
      </c>
      <c r="C38" s="139">
        <v>7.5</v>
      </c>
      <c r="D38" s="139">
        <v>14</v>
      </c>
      <c r="E38" s="139"/>
      <c r="F38" s="140"/>
      <c r="G38" s="140"/>
      <c r="H38" s="140"/>
      <c r="I38" s="140"/>
      <c r="J38" s="241">
        <f t="shared" si="1"/>
        <v>1.5393804002589988E-2</v>
      </c>
      <c r="K38" s="139"/>
      <c r="L38" s="139" t="s">
        <v>73</v>
      </c>
      <c r="M38" s="177"/>
    </row>
    <row r="39" spans="1:13" ht="14.5" customHeight="1" x14ac:dyDescent="0.35">
      <c r="A39" s="139">
        <v>38</v>
      </c>
      <c r="B39" s="139">
        <v>125</v>
      </c>
      <c r="C39" s="139">
        <v>8.5</v>
      </c>
      <c r="D39" s="139"/>
      <c r="E39" s="139">
        <v>19</v>
      </c>
      <c r="F39" s="140">
        <v>14</v>
      </c>
      <c r="G39" s="140"/>
      <c r="H39" s="140"/>
      <c r="I39" s="140"/>
      <c r="J39" s="241">
        <f t="shared" si="1"/>
        <v>4.3746677701237871E-2</v>
      </c>
      <c r="K39" s="139"/>
      <c r="L39" s="139" t="s">
        <v>73</v>
      </c>
      <c r="M39" s="177"/>
    </row>
    <row r="40" spans="1:13" ht="14.5" customHeight="1" x14ac:dyDescent="0.35">
      <c r="A40" s="139">
        <v>39</v>
      </c>
      <c r="B40" s="139">
        <v>125</v>
      </c>
      <c r="C40" s="139">
        <v>8</v>
      </c>
      <c r="D40" s="139">
        <v>15</v>
      </c>
      <c r="E40" s="139"/>
      <c r="F40" s="140"/>
      <c r="G40" s="140"/>
      <c r="H40" s="140"/>
      <c r="I40" s="140"/>
      <c r="J40" s="241">
        <f t="shared" si="1"/>
        <v>1.7671458676442587E-2</v>
      </c>
      <c r="K40" s="139"/>
      <c r="L40" s="139" t="s">
        <v>73</v>
      </c>
      <c r="M40" s="177"/>
    </row>
    <row r="41" spans="1:13" ht="14.5" customHeight="1" x14ac:dyDescent="0.35">
      <c r="A41" s="139">
        <v>40</v>
      </c>
      <c r="B41" s="139">
        <v>125</v>
      </c>
      <c r="C41" s="139">
        <v>11</v>
      </c>
      <c r="D41" s="139"/>
      <c r="E41" s="139">
        <v>22</v>
      </c>
      <c r="F41" s="140">
        <v>11</v>
      </c>
      <c r="G41" s="140">
        <v>9</v>
      </c>
      <c r="H41" s="140"/>
      <c r="I41" s="140"/>
      <c r="J41" s="241">
        <f t="shared" si="1"/>
        <v>5.3878314009064954E-2</v>
      </c>
      <c r="K41" s="139"/>
      <c r="L41" s="139" t="s">
        <v>78</v>
      </c>
      <c r="M41" s="177" t="s">
        <v>84</v>
      </c>
    </row>
    <row r="42" spans="1:13" ht="14.5" customHeight="1" x14ac:dyDescent="0.35">
      <c r="A42" s="139">
        <v>41</v>
      </c>
      <c r="B42" s="139">
        <v>125</v>
      </c>
      <c r="C42" s="139">
        <v>7</v>
      </c>
      <c r="D42" s="139">
        <v>15</v>
      </c>
      <c r="E42" s="139"/>
      <c r="F42" s="140"/>
      <c r="G42" s="140"/>
      <c r="H42" s="140"/>
      <c r="I42" s="140"/>
      <c r="J42" s="241">
        <f t="shared" si="1"/>
        <v>1.7671458676442587E-2</v>
      </c>
      <c r="K42" s="139"/>
      <c r="L42" s="139" t="s">
        <v>75</v>
      </c>
      <c r="M42" s="177" t="s">
        <v>197</v>
      </c>
    </row>
    <row r="43" spans="1:13" ht="14.5" customHeight="1" x14ac:dyDescent="0.35">
      <c r="A43" s="139">
        <v>42</v>
      </c>
      <c r="B43" s="139">
        <v>125</v>
      </c>
      <c r="C43" s="139">
        <v>11.5</v>
      </c>
      <c r="D43" s="139">
        <v>26</v>
      </c>
      <c r="E43" s="139"/>
      <c r="F43" s="140"/>
      <c r="G43" s="140"/>
      <c r="H43" s="140"/>
      <c r="I43" s="140"/>
      <c r="J43" s="241">
        <f t="shared" si="1"/>
        <v>5.3092915845667513E-2</v>
      </c>
      <c r="K43" s="139"/>
      <c r="L43" s="139" t="s">
        <v>78</v>
      </c>
      <c r="M43" s="177"/>
    </row>
    <row r="44" spans="1:13" ht="14.5" customHeight="1" x14ac:dyDescent="0.35">
      <c r="A44" s="139">
        <v>43</v>
      </c>
      <c r="B44" s="139">
        <v>125</v>
      </c>
      <c r="C44" s="139">
        <v>8</v>
      </c>
      <c r="D44" s="139">
        <v>16</v>
      </c>
      <c r="E44" s="139"/>
      <c r="F44" s="140"/>
      <c r="G44" s="140"/>
      <c r="H44" s="140"/>
      <c r="I44" s="140"/>
      <c r="J44" s="241">
        <f t="shared" si="1"/>
        <v>2.0106192982974676E-2</v>
      </c>
      <c r="K44" s="139"/>
      <c r="L44" s="139" t="s">
        <v>73</v>
      </c>
      <c r="M44" s="177"/>
    </row>
    <row r="45" spans="1:13" ht="14.5" customHeight="1" x14ac:dyDescent="0.35">
      <c r="A45" s="139">
        <v>44</v>
      </c>
      <c r="B45" s="139">
        <v>125</v>
      </c>
      <c r="C45" s="139">
        <v>2.5</v>
      </c>
      <c r="D45" s="139">
        <v>5</v>
      </c>
      <c r="E45" s="139"/>
      <c r="F45" s="140"/>
      <c r="G45" s="140"/>
      <c r="H45" s="140"/>
      <c r="I45" s="140"/>
      <c r="J45" s="241">
        <f t="shared" si="1"/>
        <v>1.9634954084936209E-3</v>
      </c>
      <c r="K45" s="139"/>
      <c r="L45" s="139" t="s">
        <v>75</v>
      </c>
      <c r="M45" s="177"/>
    </row>
    <row r="46" spans="1:13" ht="14.5" customHeight="1" x14ac:dyDescent="0.35">
      <c r="A46" s="139">
        <v>45</v>
      </c>
      <c r="B46" s="139">
        <v>125</v>
      </c>
      <c r="C46" s="139">
        <v>2</v>
      </c>
      <c r="D46" s="139">
        <v>9</v>
      </c>
      <c r="E46" s="139"/>
      <c r="F46" s="140"/>
      <c r="G46" s="140"/>
      <c r="H46" s="140"/>
      <c r="I46" s="140"/>
      <c r="J46" s="241">
        <f t="shared" si="1"/>
        <v>6.3617251235193305E-3</v>
      </c>
      <c r="K46" s="139"/>
      <c r="L46" s="139" t="s">
        <v>75</v>
      </c>
      <c r="M46" s="177" t="s">
        <v>88</v>
      </c>
    </row>
    <row r="47" spans="1:13" ht="14.5" customHeight="1" x14ac:dyDescent="0.35">
      <c r="A47" s="139">
        <v>46</v>
      </c>
      <c r="B47" s="139">
        <v>125</v>
      </c>
      <c r="C47" s="139">
        <v>9</v>
      </c>
      <c r="D47" s="139"/>
      <c r="E47" s="139">
        <v>13</v>
      </c>
      <c r="F47" s="140">
        <v>16</v>
      </c>
      <c r="G47" s="140"/>
      <c r="H47" s="140"/>
      <c r="I47" s="140"/>
      <c r="J47" s="241">
        <f t="shared" si="1"/>
        <v>3.3379421944391557E-2</v>
      </c>
      <c r="K47" s="139"/>
      <c r="L47" s="139" t="s">
        <v>73</v>
      </c>
      <c r="M47" s="177"/>
    </row>
    <row r="48" spans="1:13" ht="14.5" customHeight="1" x14ac:dyDescent="0.35">
      <c r="A48" s="139">
        <v>47</v>
      </c>
      <c r="B48" s="139">
        <v>125</v>
      </c>
      <c r="C48" s="139">
        <v>9.5</v>
      </c>
      <c r="D48" s="139">
        <v>13</v>
      </c>
      <c r="E48" s="139"/>
      <c r="F48" s="140"/>
      <c r="G48" s="140"/>
      <c r="H48" s="140"/>
      <c r="I48" s="140"/>
      <c r="J48" s="241">
        <f t="shared" si="1"/>
        <v>1.3273228961416878E-2</v>
      </c>
      <c r="K48" s="139"/>
      <c r="L48" s="139" t="s">
        <v>76</v>
      </c>
      <c r="M48" s="177"/>
    </row>
    <row r="49" spans="1:13" ht="14.5" customHeight="1" x14ac:dyDescent="0.35">
      <c r="A49" s="139">
        <v>48</v>
      </c>
      <c r="B49" s="139">
        <v>125</v>
      </c>
      <c r="C49" s="139">
        <v>8</v>
      </c>
      <c r="D49" s="139">
        <v>14</v>
      </c>
      <c r="E49" s="139"/>
      <c r="F49" s="140"/>
      <c r="G49" s="140"/>
      <c r="H49" s="140"/>
      <c r="I49" s="140"/>
      <c r="J49" s="241">
        <f t="shared" si="1"/>
        <v>1.5393804002589988E-2</v>
      </c>
      <c r="K49" s="139"/>
      <c r="L49" s="139" t="s">
        <v>73</v>
      </c>
      <c r="M49" s="177"/>
    </row>
    <row r="50" spans="1:13" ht="14.5" customHeight="1" x14ac:dyDescent="0.35">
      <c r="A50" s="139">
        <v>49</v>
      </c>
      <c r="B50" s="139">
        <v>125</v>
      </c>
      <c r="C50" s="139">
        <v>11</v>
      </c>
      <c r="D50" s="139">
        <v>21</v>
      </c>
      <c r="E50" s="139"/>
      <c r="F50" s="140"/>
      <c r="G50" s="140"/>
      <c r="H50" s="140"/>
      <c r="I50" s="140"/>
      <c r="J50" s="241">
        <f t="shared" si="1"/>
        <v>3.4636059005827467E-2</v>
      </c>
      <c r="K50" s="139"/>
      <c r="L50" s="139" t="s">
        <v>76</v>
      </c>
      <c r="M50" s="177"/>
    </row>
    <row r="51" spans="1:13" ht="14.5" customHeight="1" x14ac:dyDescent="0.35">
      <c r="A51" s="135">
        <v>50</v>
      </c>
      <c r="B51" s="135">
        <v>125</v>
      </c>
      <c r="C51" s="135">
        <v>9</v>
      </c>
      <c r="D51" s="135">
        <v>19</v>
      </c>
      <c r="E51" s="136"/>
      <c r="F51" s="136"/>
      <c r="G51" s="136"/>
      <c r="H51" s="136"/>
      <c r="I51" s="136"/>
      <c r="J51" s="244">
        <f t="shared" si="1"/>
        <v>2.8352873698647883E-2</v>
      </c>
      <c r="K51" s="135">
        <v>1</v>
      </c>
      <c r="L51" s="135" t="s">
        <v>73</v>
      </c>
      <c r="M51" s="182"/>
    </row>
    <row r="52" spans="1:13" ht="14.5" customHeight="1" x14ac:dyDescent="0.35">
      <c r="A52" s="139">
        <v>51</v>
      </c>
      <c r="B52" s="139">
        <v>125</v>
      </c>
      <c r="C52" s="139">
        <v>9.5</v>
      </c>
      <c r="D52" s="139"/>
      <c r="E52" s="139">
        <v>18</v>
      </c>
      <c r="F52" s="139">
        <v>8</v>
      </c>
      <c r="G52" s="139"/>
      <c r="H52" s="139"/>
      <c r="I52" s="139"/>
      <c r="J52" s="146">
        <f t="shared" si="1"/>
        <v>3.0473448739820989E-2</v>
      </c>
      <c r="K52" s="139"/>
      <c r="L52" s="139" t="s">
        <v>76</v>
      </c>
      <c r="M52" s="177"/>
    </row>
    <row r="53" spans="1:13" ht="14.5" customHeight="1" x14ac:dyDescent="0.35">
      <c r="A53" s="139">
        <v>52</v>
      </c>
      <c r="B53" s="139">
        <v>125</v>
      </c>
      <c r="C53" s="139">
        <v>10</v>
      </c>
      <c r="D53" s="139">
        <v>27</v>
      </c>
      <c r="E53" s="139"/>
      <c r="F53" s="139"/>
      <c r="G53" s="139"/>
      <c r="H53" s="139"/>
      <c r="I53" s="139"/>
      <c r="J53" s="146">
        <f t="shared" si="1"/>
        <v>5.7255526111673984E-2</v>
      </c>
      <c r="K53" s="139"/>
      <c r="L53" s="139" t="s">
        <v>78</v>
      </c>
      <c r="M53" s="177"/>
    </row>
    <row r="54" spans="1:13" ht="14.5" customHeight="1" x14ac:dyDescent="0.35">
      <c r="A54" s="216">
        <v>53</v>
      </c>
      <c r="B54" s="216">
        <v>125</v>
      </c>
      <c r="C54" s="216">
        <v>9</v>
      </c>
      <c r="D54" s="216"/>
      <c r="E54" s="216">
        <v>14</v>
      </c>
      <c r="F54" s="216">
        <v>15</v>
      </c>
      <c r="G54" s="216"/>
      <c r="H54" s="216"/>
      <c r="I54" s="216"/>
      <c r="J54" s="348">
        <f t="shared" si="1"/>
        <v>3.3065262679032578E-2</v>
      </c>
      <c r="K54" s="216">
        <v>2</v>
      </c>
      <c r="L54" s="216" t="s">
        <v>76</v>
      </c>
      <c r="M54" s="224"/>
    </row>
    <row r="55" spans="1:13" ht="14.5" customHeight="1" x14ac:dyDescent="0.35">
      <c r="A55" s="139">
        <v>54</v>
      </c>
      <c r="B55" s="139">
        <v>125</v>
      </c>
      <c r="C55" s="139">
        <v>9</v>
      </c>
      <c r="D55" s="139"/>
      <c r="E55" s="139">
        <v>10</v>
      </c>
      <c r="F55" s="139">
        <v>16</v>
      </c>
      <c r="G55" s="139"/>
      <c r="H55" s="139"/>
      <c r="I55" s="139"/>
      <c r="J55" s="146">
        <f t="shared" si="1"/>
        <v>2.7960174616949159E-2</v>
      </c>
      <c r="K55" s="139"/>
      <c r="L55" s="139" t="s">
        <v>73</v>
      </c>
      <c r="M55" s="177"/>
    </row>
    <row r="56" spans="1:13" ht="14.5" customHeight="1" x14ac:dyDescent="0.35">
      <c r="A56" s="139">
        <v>55</v>
      </c>
      <c r="B56" s="139">
        <v>125</v>
      </c>
      <c r="C56" s="139">
        <v>9.5</v>
      </c>
      <c r="D56" s="139">
        <v>24</v>
      </c>
      <c r="E56" s="139"/>
      <c r="F56" s="139"/>
      <c r="G56" s="139"/>
      <c r="H56" s="139"/>
      <c r="I56" s="139"/>
      <c r="J56" s="146">
        <f t="shared" si="1"/>
        <v>4.5238934211693019E-2</v>
      </c>
      <c r="K56" s="139"/>
      <c r="L56" s="139" t="s">
        <v>76</v>
      </c>
      <c r="M56" s="177"/>
    </row>
    <row r="57" spans="1:13" ht="14.5" customHeight="1" x14ac:dyDescent="0.35">
      <c r="A57" s="216">
        <v>56</v>
      </c>
      <c r="B57" s="216">
        <v>125</v>
      </c>
      <c r="C57" s="216">
        <v>9</v>
      </c>
      <c r="D57" s="216"/>
      <c r="E57" s="216">
        <v>7</v>
      </c>
      <c r="F57" s="216">
        <v>17</v>
      </c>
      <c r="G57" s="216"/>
      <c r="H57" s="216"/>
      <c r="I57" s="216"/>
      <c r="J57" s="348">
        <f t="shared" si="1"/>
        <v>2.6546457922833756E-2</v>
      </c>
      <c r="K57" s="216">
        <v>2</v>
      </c>
      <c r="L57" s="216" t="s">
        <v>73</v>
      </c>
      <c r="M57" s="224"/>
    </row>
    <row r="58" spans="1:13" ht="14.5" customHeight="1" x14ac:dyDescent="0.35">
      <c r="A58" s="139">
        <v>57</v>
      </c>
      <c r="B58" s="139">
        <v>125</v>
      </c>
      <c r="C58" s="139">
        <v>10</v>
      </c>
      <c r="D58" s="139">
        <v>22</v>
      </c>
      <c r="E58" s="139"/>
      <c r="F58" s="139"/>
      <c r="G58" s="139"/>
      <c r="H58" s="139"/>
      <c r="I58" s="139"/>
      <c r="J58" s="146">
        <f t="shared" si="1"/>
        <v>3.8013271108436497E-2</v>
      </c>
      <c r="K58" s="139"/>
      <c r="L58" s="139" t="s">
        <v>78</v>
      </c>
      <c r="M58" s="177"/>
    </row>
    <row r="59" spans="1:13" ht="14.5" customHeight="1" x14ac:dyDescent="0.35">
      <c r="A59" s="139">
        <v>58</v>
      </c>
      <c r="B59" s="139">
        <v>125</v>
      </c>
      <c r="C59" s="139">
        <v>8</v>
      </c>
      <c r="D59" s="138"/>
      <c r="E59" s="139">
        <v>15</v>
      </c>
      <c r="F59" s="139">
        <v>12</v>
      </c>
      <c r="G59" s="140"/>
      <c r="H59" s="140"/>
      <c r="I59" s="140"/>
      <c r="J59" s="241">
        <f t="shared" si="1"/>
        <v>2.8981192229365842E-2</v>
      </c>
      <c r="K59" s="139"/>
      <c r="L59" s="139" t="s">
        <v>73</v>
      </c>
      <c r="M59" s="177" t="s">
        <v>84</v>
      </c>
    </row>
    <row r="60" spans="1:13" ht="14.5" customHeight="1" x14ac:dyDescent="0.35">
      <c r="A60" s="139">
        <v>59</v>
      </c>
      <c r="B60" s="139">
        <v>125</v>
      </c>
      <c r="C60" s="139">
        <v>9</v>
      </c>
      <c r="D60" s="139"/>
      <c r="E60" s="139">
        <v>10</v>
      </c>
      <c r="F60" s="139">
        <v>19</v>
      </c>
      <c r="G60" s="139"/>
      <c r="H60" s="139"/>
      <c r="I60" s="139"/>
      <c r="J60" s="146">
        <f t="shared" si="1"/>
        <v>3.620685533262237E-2</v>
      </c>
      <c r="K60" s="139"/>
      <c r="L60" s="139" t="s">
        <v>78</v>
      </c>
      <c r="M60" s="177" t="s">
        <v>84</v>
      </c>
    </row>
    <row r="61" spans="1:13" ht="14.5" customHeight="1" x14ac:dyDescent="0.35">
      <c r="A61" s="139">
        <v>60</v>
      </c>
      <c r="B61" s="139">
        <v>125</v>
      </c>
      <c r="C61" s="139">
        <v>7.5</v>
      </c>
      <c r="D61" s="139"/>
      <c r="E61" s="139">
        <v>12</v>
      </c>
      <c r="F61" s="139">
        <v>10</v>
      </c>
      <c r="G61" s="139"/>
      <c r="H61" s="139"/>
      <c r="I61" s="139"/>
      <c r="J61" s="146">
        <f t="shared" si="1"/>
        <v>1.9163715186897738E-2</v>
      </c>
      <c r="K61" s="139"/>
      <c r="L61" s="139" t="s">
        <v>73</v>
      </c>
      <c r="M61" s="177"/>
    </row>
    <row r="62" spans="1:13" ht="14.5" customHeight="1" x14ac:dyDescent="0.35">
      <c r="A62" s="139">
        <v>61</v>
      </c>
      <c r="B62" s="139">
        <v>125</v>
      </c>
      <c r="C62" s="139">
        <v>19</v>
      </c>
      <c r="D62" s="139"/>
      <c r="E62" s="139">
        <v>7</v>
      </c>
      <c r="F62" s="139">
        <v>16</v>
      </c>
      <c r="G62" s="139"/>
      <c r="H62" s="139"/>
      <c r="I62" s="139"/>
      <c r="J62" s="146">
        <f t="shared" si="1"/>
        <v>2.3954643983622174E-2</v>
      </c>
      <c r="K62" s="139"/>
      <c r="L62" s="139" t="s">
        <v>73</v>
      </c>
      <c r="M62" s="177"/>
    </row>
    <row r="63" spans="1:13" ht="14.5" customHeight="1" x14ac:dyDescent="0.35">
      <c r="A63" s="139">
        <v>62</v>
      </c>
      <c r="B63" s="139">
        <v>125</v>
      </c>
      <c r="C63" s="139">
        <v>10</v>
      </c>
      <c r="D63" s="139">
        <v>20</v>
      </c>
      <c r="E63" s="139"/>
      <c r="F63" s="139"/>
      <c r="G63" s="139"/>
      <c r="H63" s="139"/>
      <c r="I63" s="139"/>
      <c r="J63" s="146">
        <f t="shared" si="1"/>
        <v>3.1415926535897934E-2</v>
      </c>
      <c r="K63" s="139"/>
      <c r="L63" s="139" t="s">
        <v>76</v>
      </c>
      <c r="M63" s="177"/>
    </row>
    <row r="64" spans="1:13" ht="14.5" customHeight="1" x14ac:dyDescent="0.35">
      <c r="A64" s="139">
        <v>63</v>
      </c>
      <c r="B64" s="139">
        <v>125</v>
      </c>
      <c r="C64" s="139">
        <v>8</v>
      </c>
      <c r="D64" s="139"/>
      <c r="E64" s="139">
        <v>8</v>
      </c>
      <c r="F64" s="139">
        <v>10</v>
      </c>
      <c r="G64" s="139"/>
      <c r="H64" s="139"/>
      <c r="I64" s="139"/>
      <c r="J64" s="146">
        <f t="shared" si="1"/>
        <v>1.2880529879718152E-2</v>
      </c>
      <c r="K64" s="139"/>
      <c r="L64" s="139" t="s">
        <v>74</v>
      </c>
      <c r="M64" s="177"/>
    </row>
    <row r="65" spans="1:13" ht="14.5" customHeight="1" x14ac:dyDescent="0.35">
      <c r="A65" s="139">
        <v>64</v>
      </c>
      <c r="B65" s="139">
        <v>125</v>
      </c>
      <c r="C65" s="139">
        <v>10</v>
      </c>
      <c r="D65" s="139">
        <v>21</v>
      </c>
      <c r="E65" s="139"/>
      <c r="F65" s="139"/>
      <c r="G65" s="139"/>
      <c r="H65" s="139"/>
      <c r="I65" s="139"/>
      <c r="J65" s="146">
        <f t="shared" si="1"/>
        <v>3.4636059005827467E-2</v>
      </c>
      <c r="K65" s="139"/>
      <c r="L65" s="139" t="s">
        <v>76</v>
      </c>
      <c r="M65" s="177"/>
    </row>
    <row r="66" spans="1:13" ht="14.5" customHeight="1" x14ac:dyDescent="0.35">
      <c r="A66" s="139">
        <v>65</v>
      </c>
      <c r="B66" s="139">
        <v>125</v>
      </c>
      <c r="C66" s="139">
        <v>9</v>
      </c>
      <c r="D66" s="139">
        <v>17</v>
      </c>
      <c r="E66" s="139"/>
      <c r="F66" s="139"/>
      <c r="G66" s="139"/>
      <c r="H66" s="139"/>
      <c r="I66" s="139"/>
      <c r="J66" s="146">
        <f t="shared" ref="J66:J67" si="2">PI()*(((D66)/2)/100)^2+PI()*(((E66)/2)/100)^2+PI()*(((F66)/2)/100)^2+PI()*(((G66)/2)/100)^2+PI()*(((H66)/2)/100)^2+PI()*(((I66)/2)/100)^2</f>
        <v>2.2698006922186261E-2</v>
      </c>
      <c r="K66" s="139"/>
      <c r="L66" s="139" t="s">
        <v>76</v>
      </c>
      <c r="M66" s="177"/>
    </row>
    <row r="67" spans="1:13" ht="14.5" customHeight="1" x14ac:dyDescent="0.35">
      <c r="A67" s="139">
        <v>66</v>
      </c>
      <c r="B67" s="139">
        <v>125</v>
      </c>
      <c r="C67" s="139">
        <v>11</v>
      </c>
      <c r="D67" s="139"/>
      <c r="E67" s="139">
        <v>8</v>
      </c>
      <c r="F67" s="139">
        <v>18</v>
      </c>
      <c r="G67" s="139"/>
      <c r="H67" s="139"/>
      <c r="I67" s="139"/>
      <c r="J67" s="146">
        <f t="shared" si="2"/>
        <v>3.0473448739820989E-2</v>
      </c>
      <c r="K67" s="139"/>
      <c r="L67" s="139" t="s">
        <v>76</v>
      </c>
      <c r="M67" s="177" t="s">
        <v>84</v>
      </c>
    </row>
    <row r="68" spans="1:13" ht="15" thickBot="1" x14ac:dyDescent="0.4">
      <c r="A68" s="17">
        <f>SUBTOTAL(103,Tabla4[número de árboles])</f>
        <v>66</v>
      </c>
      <c r="B68" s="206" t="s">
        <v>146</v>
      </c>
      <c r="C68" s="225">
        <f>SUBTOTAL(101,Tabla4[altura])</f>
        <v>7.9923076923076923</v>
      </c>
      <c r="D68" s="225">
        <f>SUBTOTAL(101,Tabla4[diámetro])</f>
        <v>15.75</v>
      </c>
      <c r="E68" s="225">
        <f>SUBTOTAL(101,Tabla4[Hermanado1])</f>
        <v>11.884615384615385</v>
      </c>
      <c r="F68" s="225">
        <f>SUBTOTAL(101,Tabla4[Hermanado2])</f>
        <v>13.884615384615385</v>
      </c>
      <c r="G68" s="225">
        <f>SUBTOTAL(101,Tabla4[Hermanado 3])</f>
        <v>10.8</v>
      </c>
      <c r="H68" s="225">
        <f>SUBTOTAL(101,Tabla4[Hermanado4])</f>
        <v>6.666666666666667</v>
      </c>
      <c r="I68" s="226">
        <f>SUBTOTAL(101,Tabla4[Hermanado5])</f>
        <v>12</v>
      </c>
      <c r="J68" s="349">
        <f>SUBTOTAL(101,Tabla4[AB( m2)])</f>
        <v>2.6655937666822494E-2</v>
      </c>
      <c r="K68" s="206">
        <f>SUBTOTAL(109,Tabla4[apeados])</f>
        <v>15</v>
      </c>
      <c r="L68" s="206">
        <f>SUBTOTAL(103,Tabla4[vitalidad])</f>
        <v>66</v>
      </c>
      <c r="M68" s="172"/>
    </row>
    <row r="69" spans="1:13" ht="15" thickBot="1" x14ac:dyDescent="0.4">
      <c r="A69" s="218"/>
      <c r="B69" s="219"/>
      <c r="C69" s="219"/>
      <c r="D69" s="219"/>
      <c r="E69" s="219"/>
      <c r="F69" s="219"/>
      <c r="G69" s="219"/>
      <c r="H69" s="219"/>
      <c r="I69" s="220"/>
      <c r="J69" s="220"/>
      <c r="K69" s="24"/>
    </row>
    <row r="70" spans="1:13" ht="58" x14ac:dyDescent="0.35">
      <c r="A70" s="247" t="s">
        <v>232</v>
      </c>
      <c r="B70" s="247" t="s">
        <v>216</v>
      </c>
      <c r="C70" s="285" t="s">
        <v>237</v>
      </c>
      <c r="D70" s="247" t="s">
        <v>218</v>
      </c>
      <c r="E70" s="247" t="s">
        <v>219</v>
      </c>
      <c r="F70" s="247" t="s">
        <v>230</v>
      </c>
      <c r="G70" s="247" t="s">
        <v>224</v>
      </c>
      <c r="H70" s="247" t="s">
        <v>226</v>
      </c>
      <c r="I70" s="247" t="s">
        <v>227</v>
      </c>
    </row>
    <row r="71" spans="1:13" x14ac:dyDescent="0.35">
      <c r="A71" s="284">
        <v>125</v>
      </c>
      <c r="B71" s="247"/>
      <c r="C71" s="247"/>
      <c r="D71" s="247"/>
      <c r="E71" s="247"/>
      <c r="F71" s="247"/>
      <c r="G71" s="247"/>
      <c r="H71" s="247"/>
      <c r="I71" s="247"/>
    </row>
    <row r="72" spans="1:13" x14ac:dyDescent="0.35">
      <c r="A72" s="3">
        <v>130</v>
      </c>
      <c r="B72" s="249" t="e">
        <f>Tabla8[[#Totals],[AB m2]]*C85/C84</f>
        <v>#VALUE!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>
        <f>($C$101*$E$101+$C$102*$E$102+$C$103*$E$103+$C$104*$E$104+$C$105*$E$105+$C$106*$E$106+$C$107*$E$107+$C$108*$E$108)/$E$109</f>
        <v>13.663366336633663</v>
      </c>
      <c r="I72" s="250">
        <f>SQRT(($C$101^2*$E$101+$C$102^2*$E$102+$C$103^2*$E$103+$C$104^2*$E$104+$C$105^2*$E$105+$C$106^2*$E$106+$C$107^2*$E$107+$C$108^2*$E$108)/$E$109)</f>
        <v>14.825720225271345</v>
      </c>
    </row>
    <row r="73" spans="1:13" x14ac:dyDescent="0.35">
      <c r="A73" s="3">
        <v>112</v>
      </c>
      <c r="B73" s="2" t="s">
        <v>217</v>
      </c>
      <c r="C73" s="2"/>
      <c r="D73" s="2"/>
      <c r="E73" s="2"/>
      <c r="F73" s="2"/>
      <c r="G73" s="2"/>
      <c r="H73" s="2"/>
      <c r="I73" s="2"/>
    </row>
    <row r="74" spans="1:13" x14ac:dyDescent="0.35">
      <c r="A74" s="3">
        <v>46</v>
      </c>
      <c r="B74" s="2"/>
      <c r="C74" s="2"/>
      <c r="D74" s="2"/>
      <c r="E74" s="2"/>
      <c r="F74" s="2"/>
      <c r="G74" s="2"/>
      <c r="H74" s="2"/>
      <c r="I74" s="2"/>
    </row>
    <row r="75" spans="1:13" x14ac:dyDescent="0.35">
      <c r="A75" s="3">
        <v>43</v>
      </c>
      <c r="B75" s="2"/>
      <c r="C75" s="2"/>
      <c r="D75" s="2"/>
      <c r="E75" s="2"/>
      <c r="F75" s="2"/>
      <c r="G75" s="2"/>
      <c r="H75" s="2"/>
      <c r="I75" s="2"/>
    </row>
    <row r="76" spans="1:13" x14ac:dyDescent="0.35">
      <c r="A76" s="3">
        <v>23</v>
      </c>
      <c r="B76" s="4"/>
      <c r="C76" s="4"/>
      <c r="D76" s="4"/>
      <c r="E76" s="4"/>
      <c r="F76" s="4"/>
      <c r="G76" s="4"/>
      <c r="H76" s="4"/>
      <c r="I76" s="4"/>
    </row>
    <row r="77" spans="1:13" x14ac:dyDescent="0.35">
      <c r="A77" s="74"/>
      <c r="B77" s="33"/>
      <c r="C77" s="33"/>
      <c r="D77" s="33"/>
      <c r="E77" s="33"/>
      <c r="F77" s="33"/>
      <c r="G77" s="33"/>
      <c r="H77" s="33"/>
      <c r="I77" s="33"/>
    </row>
    <row r="78" spans="1:13" x14ac:dyDescent="0.35">
      <c r="A78" s="74"/>
      <c r="B78" s="33"/>
      <c r="C78" s="33"/>
      <c r="D78" s="33"/>
      <c r="E78" s="33"/>
      <c r="F78" s="33"/>
      <c r="G78" s="33"/>
      <c r="H78" s="33"/>
      <c r="I78" s="33"/>
    </row>
    <row r="79" spans="1:13" ht="15" thickBot="1" x14ac:dyDescent="0.4">
      <c r="A79" s="19" t="s">
        <v>63</v>
      </c>
    </row>
    <row r="80" spans="1:13" ht="15" thickBot="1" x14ac:dyDescent="0.4">
      <c r="A80" s="365" t="s">
        <v>244</v>
      </c>
      <c r="B80" s="366"/>
      <c r="C80" s="366"/>
      <c r="D80" s="366"/>
      <c r="E80" s="366"/>
      <c r="F80" s="366"/>
      <c r="G80" s="366"/>
      <c r="H80" s="366"/>
      <c r="I80" s="366"/>
      <c r="J80" s="366"/>
      <c r="K80" s="367"/>
    </row>
    <row r="81" spans="1:10" ht="15" thickBot="1" x14ac:dyDescent="0.4"/>
    <row r="82" spans="1:10" ht="15" thickBot="1" x14ac:dyDescent="0.4">
      <c r="A82" t="s">
        <v>128</v>
      </c>
      <c r="B82">
        <f>COUNT(Tabla4[[diámetro]:[Hermanado5]])</f>
        <v>101</v>
      </c>
      <c r="C82">
        <f>25*25</f>
        <v>625</v>
      </c>
      <c r="E82" s="55" t="s">
        <v>29</v>
      </c>
      <c r="F82" s="64"/>
      <c r="G82" s="231" t="s">
        <v>65</v>
      </c>
      <c r="H82" s="233"/>
      <c r="I82" s="231" t="s">
        <v>4</v>
      </c>
      <c r="J82" s="233"/>
    </row>
    <row r="83" spans="1:10" ht="15" thickBot="1" x14ac:dyDescent="0.4">
      <c r="B83">
        <f>B82*C83/C82</f>
        <v>1616</v>
      </c>
      <c r="C83">
        <v>10000</v>
      </c>
      <c r="E83" s="52" t="s">
        <v>30</v>
      </c>
      <c r="F83" s="65" t="s">
        <v>31</v>
      </c>
      <c r="G83" s="20">
        <v>125</v>
      </c>
      <c r="H83" s="21" t="s">
        <v>23</v>
      </c>
      <c r="I83" s="13" t="s">
        <v>6</v>
      </c>
      <c r="J83" s="14" t="s">
        <v>58</v>
      </c>
    </row>
    <row r="84" spans="1:10" ht="21.5" thickBot="1" x14ac:dyDescent="0.55000000000000004">
      <c r="A84" s="27" t="s">
        <v>79</v>
      </c>
      <c r="B84" s="49" t="s">
        <v>28</v>
      </c>
      <c r="C84" s="10" t="s">
        <v>52</v>
      </c>
      <c r="D84" s="51" t="s">
        <v>147</v>
      </c>
      <c r="E84" s="48" t="s">
        <v>32</v>
      </c>
      <c r="F84" s="11" t="s">
        <v>33</v>
      </c>
      <c r="G84" s="22">
        <v>130</v>
      </c>
      <c r="H84" s="23" t="s">
        <v>25</v>
      </c>
      <c r="I84" s="15" t="s">
        <v>5</v>
      </c>
      <c r="J84" s="16" t="s">
        <v>59</v>
      </c>
    </row>
    <row r="85" spans="1:10" ht="15" thickBot="1" x14ac:dyDescent="0.4">
      <c r="A85" s="10"/>
      <c r="B85" s="12">
        <v>2</v>
      </c>
      <c r="C85" s="12">
        <v>1</v>
      </c>
      <c r="D85" s="10">
        <f>B83</f>
        <v>1616</v>
      </c>
      <c r="E85" s="48" t="s">
        <v>34</v>
      </c>
      <c r="F85" s="11" t="s">
        <v>35</v>
      </c>
      <c r="G85" s="22">
        <v>46</v>
      </c>
      <c r="H85" s="23" t="s">
        <v>26</v>
      </c>
      <c r="I85" s="15" t="s">
        <v>13</v>
      </c>
      <c r="J85" s="16" t="s">
        <v>60</v>
      </c>
    </row>
    <row r="86" spans="1:10" x14ac:dyDescent="0.35">
      <c r="E86" s="45" t="s">
        <v>36</v>
      </c>
      <c r="F86" s="58" t="s">
        <v>37</v>
      </c>
      <c r="G86" s="22">
        <v>43</v>
      </c>
      <c r="H86" s="23" t="s">
        <v>27</v>
      </c>
      <c r="I86" s="15" t="s">
        <v>10</v>
      </c>
      <c r="J86" s="16" t="s">
        <v>61</v>
      </c>
    </row>
    <row r="87" spans="1:10" ht="15" thickBot="1" x14ac:dyDescent="0.4">
      <c r="E87" s="45" t="s">
        <v>16</v>
      </c>
      <c r="F87" s="11" t="s">
        <v>38</v>
      </c>
      <c r="G87" s="22">
        <v>23</v>
      </c>
      <c r="H87" s="23" t="s">
        <v>22</v>
      </c>
      <c r="I87" s="17" t="s">
        <v>12</v>
      </c>
      <c r="J87" s="18" t="s">
        <v>62</v>
      </c>
    </row>
    <row r="88" spans="1:10" x14ac:dyDescent="0.35">
      <c r="E88" s="45" t="s">
        <v>39</v>
      </c>
      <c r="F88" s="11" t="s">
        <v>40</v>
      </c>
      <c r="G88" s="22">
        <v>73</v>
      </c>
      <c r="H88" s="23" t="s">
        <v>24</v>
      </c>
    </row>
    <row r="89" spans="1:10" x14ac:dyDescent="0.35">
      <c r="E89" s="45" t="s">
        <v>41</v>
      </c>
      <c r="F89" s="11" t="s">
        <v>42</v>
      </c>
      <c r="G89" s="22">
        <v>87</v>
      </c>
      <c r="H89" s="23" t="s">
        <v>47</v>
      </c>
    </row>
    <row r="90" spans="1:10" x14ac:dyDescent="0.35">
      <c r="E90" s="45" t="s">
        <v>43</v>
      </c>
      <c r="F90" s="11" t="s">
        <v>44</v>
      </c>
      <c r="G90" s="22">
        <v>3</v>
      </c>
      <c r="H90" s="23" t="s">
        <v>48</v>
      </c>
    </row>
    <row r="91" spans="1:10" x14ac:dyDescent="0.35">
      <c r="E91" s="45" t="s">
        <v>45</v>
      </c>
      <c r="F91" s="66" t="s">
        <v>46</v>
      </c>
      <c r="G91" s="22">
        <v>82</v>
      </c>
      <c r="H91" s="23" t="s">
        <v>50</v>
      </c>
    </row>
    <row r="92" spans="1:10" x14ac:dyDescent="0.35">
      <c r="G92" s="22">
        <v>83</v>
      </c>
      <c r="H92" s="23" t="s">
        <v>49</v>
      </c>
    </row>
    <row r="93" spans="1:10" x14ac:dyDescent="0.35">
      <c r="G93" s="22">
        <v>42</v>
      </c>
      <c r="H93" s="23" t="s">
        <v>51</v>
      </c>
    </row>
    <row r="94" spans="1:10" x14ac:dyDescent="0.35">
      <c r="G94" s="22">
        <v>112</v>
      </c>
      <c r="H94" s="23" t="s">
        <v>66</v>
      </c>
    </row>
    <row r="95" spans="1:10" ht="15" thickBot="1" x14ac:dyDescent="0.4">
      <c r="G95" s="25">
        <v>113</v>
      </c>
      <c r="H95" s="26" t="s">
        <v>67</v>
      </c>
    </row>
    <row r="100" spans="1:10" x14ac:dyDescent="0.35">
      <c r="A100" s="271" t="s">
        <v>228</v>
      </c>
      <c r="B100" s="271" t="s">
        <v>206</v>
      </c>
      <c r="C100" s="271" t="s">
        <v>229</v>
      </c>
      <c r="D100" s="271" t="s">
        <v>142</v>
      </c>
      <c r="E100" s="271" t="s">
        <v>147</v>
      </c>
      <c r="F100" s="271" t="s">
        <v>225</v>
      </c>
      <c r="G100" s="271" t="s">
        <v>207</v>
      </c>
      <c r="H100" s="271" t="s">
        <v>231</v>
      </c>
      <c r="I100" s="271" t="s">
        <v>213</v>
      </c>
      <c r="J100" s="272" t="s">
        <v>215</v>
      </c>
    </row>
    <row r="101" spans="1:10" x14ac:dyDescent="0.35">
      <c r="A101" s="245" t="s">
        <v>212</v>
      </c>
      <c r="B101" s="269">
        <f>COUNTIF($D$1:$I$67,"&gt;=2,5")-COUNTIF($D$1:$I$67,"&gt;7,4")</f>
        <v>17</v>
      </c>
      <c r="C101" s="269">
        <v>5</v>
      </c>
      <c r="D101" s="269"/>
      <c r="E101" s="269">
        <f>(B101*10000)/625</f>
        <v>272</v>
      </c>
      <c r="F101" s="270">
        <f>(PI()/4)*(C101/100)^2</f>
        <v>1.9634954084936209E-3</v>
      </c>
      <c r="G101" s="270">
        <f>E101*F101</f>
        <v>0.53407075111026492</v>
      </c>
      <c r="H101" s="269"/>
      <c r="I101" s="269"/>
      <c r="J101" s="269"/>
    </row>
    <row r="102" spans="1:10" x14ac:dyDescent="0.35">
      <c r="A102" s="246" t="s">
        <v>211</v>
      </c>
      <c r="B102" s="257">
        <f>COUNTIF($D$1:$I$67,"&gt;=7,5")-COUNTIF($D$1:$I$67,"&gt;12,4")</f>
        <v>27</v>
      </c>
      <c r="C102" s="257">
        <v>10</v>
      </c>
      <c r="D102" s="257"/>
      <c r="E102" s="257">
        <f t="shared" ref="E102:E108" si="3">(B102*10000)/625</f>
        <v>432</v>
      </c>
      <c r="F102" s="258">
        <f t="shared" ref="F102:F108" si="4">(PI()/4)*(C102/100)^2</f>
        <v>7.8539816339744835E-3</v>
      </c>
      <c r="G102" s="258">
        <f t="shared" ref="G102:G108" si="5">E102*F102</f>
        <v>3.3929200658769769</v>
      </c>
      <c r="H102" s="257"/>
      <c r="I102" s="257"/>
      <c r="J102" s="257"/>
    </row>
    <row r="103" spans="1:10" x14ac:dyDescent="0.35">
      <c r="A103" s="245" t="s">
        <v>209</v>
      </c>
      <c r="B103" s="269">
        <f>COUNTIF($D$1:$I$67,"&gt;=12,5")-COUNTIF($D$1:$I$67,"&gt;17,4")</f>
        <v>29</v>
      </c>
      <c r="C103" s="269">
        <v>15</v>
      </c>
      <c r="D103" s="269"/>
      <c r="E103" s="269">
        <f t="shared" si="3"/>
        <v>464</v>
      </c>
      <c r="F103" s="270">
        <f t="shared" si="4"/>
        <v>1.7671458676442587E-2</v>
      </c>
      <c r="G103" s="270">
        <f t="shared" si="5"/>
        <v>8.1995568258693599</v>
      </c>
      <c r="H103" s="269"/>
      <c r="I103" s="269"/>
      <c r="J103" s="269"/>
    </row>
    <row r="104" spans="1:10" x14ac:dyDescent="0.35">
      <c r="A104" s="246" t="s">
        <v>208</v>
      </c>
      <c r="B104" s="257">
        <f>COUNTIF($D$1:$I$67,"&gt;=17,5")-COUNTIF($D$1:$I$67,"&gt;22,4")</f>
        <v>22</v>
      </c>
      <c r="C104" s="257">
        <v>20</v>
      </c>
      <c r="D104" s="257"/>
      <c r="E104" s="257">
        <f t="shared" si="3"/>
        <v>352</v>
      </c>
      <c r="F104" s="258">
        <f t="shared" si="4"/>
        <v>3.1415926535897934E-2</v>
      </c>
      <c r="G104" s="258">
        <f t="shared" si="5"/>
        <v>11.058406140636073</v>
      </c>
      <c r="H104" s="257"/>
      <c r="I104" s="257"/>
      <c r="J104" s="257"/>
    </row>
    <row r="105" spans="1:10" x14ac:dyDescent="0.35">
      <c r="A105" s="245" t="s">
        <v>210</v>
      </c>
      <c r="B105" s="269">
        <f>COUNTIF($D$1:$I$67,"&gt;=22,5")-COUNTIF($D$1:$I$67,"&gt;27,4")</f>
        <v>6</v>
      </c>
      <c r="C105" s="269">
        <v>25</v>
      </c>
      <c r="D105" s="269"/>
      <c r="E105" s="269">
        <f t="shared" si="3"/>
        <v>96</v>
      </c>
      <c r="F105" s="270">
        <f t="shared" si="4"/>
        <v>4.9087385212340517E-2</v>
      </c>
      <c r="G105" s="270">
        <f t="shared" si="5"/>
        <v>4.7123889803846897</v>
      </c>
      <c r="H105" s="269"/>
      <c r="I105" s="269"/>
      <c r="J105" s="269"/>
    </row>
    <row r="106" spans="1:10" x14ac:dyDescent="0.35">
      <c r="A106" s="246" t="s">
        <v>221</v>
      </c>
      <c r="B106" s="257">
        <f>COUNTIF($D$1:$I$67,"&gt;=27,5")-COUNTIF($D$1:$I$67,"&gt;32,4")</f>
        <v>0</v>
      </c>
      <c r="C106" s="257">
        <v>30</v>
      </c>
      <c r="D106" s="257"/>
      <c r="E106" s="257">
        <f t="shared" si="3"/>
        <v>0</v>
      </c>
      <c r="F106" s="258">
        <f t="shared" si="4"/>
        <v>7.0685834705770348E-2</v>
      </c>
      <c r="G106" s="258">
        <f t="shared" si="5"/>
        <v>0</v>
      </c>
      <c r="H106" s="257"/>
      <c r="I106" s="257"/>
      <c r="J106" s="257"/>
    </row>
    <row r="107" spans="1:10" x14ac:dyDescent="0.35">
      <c r="A107" s="245" t="s">
        <v>222</v>
      </c>
      <c r="B107" s="269">
        <f>COUNTIF($D$1:$I$67,"&gt;=32,5")-COUNTIF($D$1:$I$67,"&gt;37,4")</f>
        <v>0</v>
      </c>
      <c r="C107" s="269">
        <v>35</v>
      </c>
      <c r="D107" s="269"/>
      <c r="E107" s="269">
        <f t="shared" si="3"/>
        <v>0</v>
      </c>
      <c r="F107" s="270">
        <f t="shared" si="4"/>
        <v>9.6211275016187398E-2</v>
      </c>
      <c r="G107" s="270">
        <f t="shared" si="5"/>
        <v>0</v>
      </c>
      <c r="H107" s="269"/>
      <c r="I107" s="269"/>
      <c r="J107" s="269"/>
    </row>
    <row r="108" spans="1:10" x14ac:dyDescent="0.35">
      <c r="A108" s="246" t="s">
        <v>223</v>
      </c>
      <c r="B108" s="257">
        <f>COUNTIF($D$1:$I$67,"&gt;=37,5")-COUNTIF($D$1:$I$67,"&gt;42,4")</f>
        <v>0</v>
      </c>
      <c r="C108" s="257">
        <v>40</v>
      </c>
      <c r="D108" s="257"/>
      <c r="E108" s="257">
        <f t="shared" si="3"/>
        <v>0</v>
      </c>
      <c r="F108" s="258">
        <f t="shared" si="4"/>
        <v>0.12566370614359174</v>
      </c>
      <c r="G108" s="258">
        <f t="shared" si="5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SUBTOTAL(109,Tabla27[NÚMERO DE PIES])</f>
        <v>101</v>
      </c>
      <c r="C109" s="268">
        <f>SUBTOTAL(103,Tabla27[CLASE DIAMETRICA])</f>
        <v>8</v>
      </c>
      <c r="D109" s="268"/>
      <c r="E109" s="268">
        <f>SUBTOTAL(109,Tabla27[pies/ha])</f>
        <v>1616</v>
      </c>
      <c r="F109" s="264">
        <f>SUBTOTAL(101,Tabla27[gn (m2)])</f>
        <v>5.0069132916587329E-2</v>
      </c>
      <c r="G109" s="264">
        <f>SUBTOTAL(109,Tabla27[G (m2/ha.)])</f>
        <v>27.897342763877361</v>
      </c>
      <c r="H109" s="268"/>
      <c r="I109" s="268"/>
      <c r="J109" s="268">
        <f>SUBTOTAL(103,Tabla27[AB (m2) final])</f>
        <v>0</v>
      </c>
    </row>
  </sheetData>
  <mergeCells count="1">
    <mergeCell ref="A80:K80"/>
  </mergeCells>
  <pageMargins left="0.47244094488188976" right="0.55118110236220474" top="0.51181102362204722" bottom="0.47244094488188976" header="0.31496062992125984" footer="0.31496062992125984"/>
  <pageSetup paperSize="9" scale="44" orientation="portrait" r:id="rId1"/>
  <headerFooter>
    <oddHeader>&amp;C Parcela &amp;"-,Negrita"&amp;K08+000A2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28" zoomScale="50" zoomScaleNormal="100" zoomScalePageLayoutView="50" workbookViewId="0">
      <selection activeCell="C92" sqref="C92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3.1796875" customWidth="1"/>
    <col min="11" max="11" width="17.7265625" customWidth="1"/>
    <col min="13" max="13" width="14.81640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198" t="s">
        <v>195</v>
      </c>
      <c r="J1" s="198" t="s">
        <v>239</v>
      </c>
      <c r="K1" s="34" t="s">
        <v>144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9</v>
      </c>
      <c r="D2" s="174"/>
      <c r="E2" s="174">
        <v>19</v>
      </c>
      <c r="F2" s="190">
        <v>12</v>
      </c>
      <c r="G2" s="190">
        <v>11</v>
      </c>
      <c r="H2" s="190"/>
      <c r="I2" s="190"/>
      <c r="J2" s="237">
        <f t="shared" ref="J2:J44" si="0">PI()*(((D2)/2)/100)^2+PI()*(((E2)/2)/100)^2+PI()*(((F2)/2)/100)^2+PI()*(((G2)/2)/100)^2+PI()*(((H2)/2)/100)^2+PI()*(((I2)/2)/100)^2</f>
        <v>4.9165925028680266E-2</v>
      </c>
      <c r="K2" s="190"/>
      <c r="L2" s="174" t="s">
        <v>76</v>
      </c>
      <c r="M2" s="175"/>
    </row>
    <row r="3" spans="1:13" x14ac:dyDescent="0.35">
      <c r="A3" s="176">
        <v>2</v>
      </c>
      <c r="B3" s="137">
        <v>125</v>
      </c>
      <c r="C3" s="137">
        <v>8</v>
      </c>
      <c r="D3" s="137">
        <v>22</v>
      </c>
      <c r="E3" s="137"/>
      <c r="F3" s="138"/>
      <c r="G3" s="138"/>
      <c r="H3" s="138"/>
      <c r="I3" s="138"/>
      <c r="J3" s="241">
        <f t="shared" si="0"/>
        <v>3.8013271108436497E-2</v>
      </c>
      <c r="K3" s="138">
        <v>1</v>
      </c>
      <c r="L3" s="137" t="s">
        <v>12</v>
      </c>
      <c r="M3" s="177"/>
    </row>
    <row r="4" spans="1:13" x14ac:dyDescent="0.35">
      <c r="A4" s="181">
        <v>3</v>
      </c>
      <c r="B4" s="133">
        <v>125</v>
      </c>
      <c r="C4" s="133">
        <v>9</v>
      </c>
      <c r="D4" s="133"/>
      <c r="E4" s="133">
        <v>17</v>
      </c>
      <c r="F4" s="134">
        <v>21</v>
      </c>
      <c r="G4" s="134"/>
      <c r="H4" s="134"/>
      <c r="I4" s="134"/>
      <c r="J4" s="244">
        <f t="shared" si="0"/>
        <v>5.7334065928013725E-2</v>
      </c>
      <c r="K4" s="134">
        <v>2</v>
      </c>
      <c r="L4" s="133" t="s">
        <v>76</v>
      </c>
      <c r="M4" s="182"/>
    </row>
    <row r="5" spans="1:13" x14ac:dyDescent="0.35">
      <c r="A5" s="176">
        <v>4</v>
      </c>
      <c r="B5" s="137">
        <v>125</v>
      </c>
      <c r="C5" s="137">
        <v>6</v>
      </c>
      <c r="D5" s="137">
        <v>10</v>
      </c>
      <c r="E5" s="137"/>
      <c r="F5" s="138"/>
      <c r="G5" s="138"/>
      <c r="H5" s="138"/>
      <c r="I5" s="138"/>
      <c r="J5" s="241">
        <f t="shared" si="0"/>
        <v>7.8539816339744835E-3</v>
      </c>
      <c r="K5" s="138"/>
      <c r="L5" s="137" t="s">
        <v>75</v>
      </c>
      <c r="M5" s="177"/>
    </row>
    <row r="6" spans="1:13" x14ac:dyDescent="0.35">
      <c r="A6" s="176">
        <v>5</v>
      </c>
      <c r="B6" s="137">
        <v>125</v>
      </c>
      <c r="C6" s="137">
        <v>2</v>
      </c>
      <c r="D6" s="137">
        <v>9</v>
      </c>
      <c r="E6" s="137"/>
      <c r="F6" s="138"/>
      <c r="G6" s="138"/>
      <c r="H6" s="138"/>
      <c r="I6" s="138"/>
      <c r="J6" s="241">
        <f t="shared" si="0"/>
        <v>6.3617251235193305E-3</v>
      </c>
      <c r="K6" s="138"/>
      <c r="L6" s="137" t="s">
        <v>75</v>
      </c>
      <c r="M6" s="177" t="s">
        <v>84</v>
      </c>
    </row>
    <row r="7" spans="1:13" x14ac:dyDescent="0.35">
      <c r="A7" s="176">
        <v>6</v>
      </c>
      <c r="B7" s="137">
        <v>125</v>
      </c>
      <c r="C7" s="137">
        <v>9.5</v>
      </c>
      <c r="D7" s="137"/>
      <c r="E7" s="137">
        <v>23</v>
      </c>
      <c r="F7" s="138">
        <v>18</v>
      </c>
      <c r="G7" s="138"/>
      <c r="H7" s="138"/>
      <c r="I7" s="138"/>
      <c r="J7" s="241">
        <f t="shared" si="0"/>
        <v>6.6994463337802346E-2</v>
      </c>
      <c r="K7" s="138"/>
      <c r="L7" s="137" t="s">
        <v>12</v>
      </c>
      <c r="M7" s="177"/>
    </row>
    <row r="8" spans="1:13" x14ac:dyDescent="0.35">
      <c r="A8" s="176">
        <v>7</v>
      </c>
      <c r="B8" s="137">
        <v>125</v>
      </c>
      <c r="C8" s="137">
        <v>8</v>
      </c>
      <c r="D8" s="137"/>
      <c r="E8" s="137">
        <v>15</v>
      </c>
      <c r="F8" s="138">
        <v>24</v>
      </c>
      <c r="G8" s="138"/>
      <c r="H8" s="138"/>
      <c r="I8" s="138"/>
      <c r="J8" s="241">
        <f t="shared" si="0"/>
        <v>6.2910392888135602E-2</v>
      </c>
      <c r="K8" s="138"/>
      <c r="L8" s="137" t="s">
        <v>13</v>
      </c>
      <c r="M8" s="177" t="s">
        <v>84</v>
      </c>
    </row>
    <row r="9" spans="1:13" x14ac:dyDescent="0.35">
      <c r="A9" s="176">
        <v>8</v>
      </c>
      <c r="B9" s="137">
        <v>125</v>
      </c>
      <c r="C9" s="137">
        <v>8.5</v>
      </c>
      <c r="D9" s="137">
        <v>15</v>
      </c>
      <c r="E9" s="137"/>
      <c r="F9" s="138"/>
      <c r="G9" s="138"/>
      <c r="H9" s="138"/>
      <c r="I9" s="138"/>
      <c r="J9" s="241">
        <f t="shared" si="0"/>
        <v>1.7671458676442587E-2</v>
      </c>
      <c r="K9" s="138"/>
      <c r="L9" s="137" t="s">
        <v>73</v>
      </c>
      <c r="M9" s="177"/>
    </row>
    <row r="10" spans="1:13" x14ac:dyDescent="0.35">
      <c r="A10" s="176">
        <v>9</v>
      </c>
      <c r="B10" s="137">
        <v>125</v>
      </c>
      <c r="C10" s="137">
        <v>9</v>
      </c>
      <c r="D10" s="137"/>
      <c r="E10" s="137">
        <v>6</v>
      </c>
      <c r="F10" s="138">
        <v>25</v>
      </c>
      <c r="G10" s="138"/>
      <c r="H10" s="138"/>
      <c r="I10" s="138"/>
      <c r="J10" s="241">
        <f t="shared" si="0"/>
        <v>5.191481860057133E-2</v>
      </c>
      <c r="K10" s="138"/>
      <c r="L10" s="137" t="s">
        <v>78</v>
      </c>
      <c r="M10" s="177"/>
    </row>
    <row r="11" spans="1:13" x14ac:dyDescent="0.35">
      <c r="A11" s="176">
        <v>10</v>
      </c>
      <c r="B11" s="137">
        <v>125</v>
      </c>
      <c r="C11" s="137">
        <v>9</v>
      </c>
      <c r="D11" s="137">
        <v>20</v>
      </c>
      <c r="E11" s="137"/>
      <c r="F11" s="138"/>
      <c r="G11" s="138"/>
      <c r="H11" s="138"/>
      <c r="I11" s="138"/>
      <c r="J11" s="241">
        <f t="shared" si="0"/>
        <v>3.1415926535897934E-2</v>
      </c>
      <c r="K11" s="138"/>
      <c r="L11" s="137" t="s">
        <v>76</v>
      </c>
      <c r="M11" s="177"/>
    </row>
    <row r="12" spans="1:13" x14ac:dyDescent="0.35">
      <c r="A12" s="176">
        <v>11</v>
      </c>
      <c r="B12" s="137">
        <v>125</v>
      </c>
      <c r="C12" s="137">
        <v>2</v>
      </c>
      <c r="D12" s="137">
        <v>10</v>
      </c>
      <c r="E12" s="137"/>
      <c r="F12" s="138"/>
      <c r="G12" s="138"/>
      <c r="H12" s="138"/>
      <c r="I12" s="138"/>
      <c r="J12" s="241">
        <f t="shared" si="0"/>
        <v>7.8539816339744835E-3</v>
      </c>
      <c r="K12" s="138">
        <v>1</v>
      </c>
      <c r="L12" s="137" t="s">
        <v>75</v>
      </c>
      <c r="M12" s="177" t="s">
        <v>84</v>
      </c>
    </row>
    <row r="13" spans="1:13" x14ac:dyDescent="0.35">
      <c r="A13" s="176">
        <v>12</v>
      </c>
      <c r="B13" s="137">
        <v>125</v>
      </c>
      <c r="C13" s="137">
        <v>9</v>
      </c>
      <c r="D13" s="137"/>
      <c r="E13" s="137">
        <v>17</v>
      </c>
      <c r="F13" s="138">
        <v>14</v>
      </c>
      <c r="G13" s="138"/>
      <c r="H13" s="138"/>
      <c r="I13" s="138"/>
      <c r="J13" s="241">
        <f t="shared" si="0"/>
        <v>3.8091810924776245E-2</v>
      </c>
      <c r="K13" s="138"/>
      <c r="L13" s="137" t="s">
        <v>76</v>
      </c>
      <c r="M13" s="177"/>
    </row>
    <row r="14" spans="1:13" x14ac:dyDescent="0.35">
      <c r="A14" s="176">
        <v>13</v>
      </c>
      <c r="B14" s="137">
        <v>125</v>
      </c>
      <c r="C14" s="137">
        <v>8</v>
      </c>
      <c r="D14" s="137"/>
      <c r="E14" s="137">
        <v>18</v>
      </c>
      <c r="F14" s="138">
        <v>18</v>
      </c>
      <c r="G14" s="138"/>
      <c r="H14" s="138"/>
      <c r="I14" s="138"/>
      <c r="J14" s="241">
        <f t="shared" si="0"/>
        <v>5.0893800988154644E-2</v>
      </c>
      <c r="K14" s="138"/>
      <c r="L14" s="137" t="s">
        <v>13</v>
      </c>
      <c r="M14" s="177"/>
    </row>
    <row r="15" spans="1:13" x14ac:dyDescent="0.35">
      <c r="A15" s="176">
        <v>14</v>
      </c>
      <c r="B15" s="137">
        <v>125</v>
      </c>
      <c r="C15" s="137">
        <v>8</v>
      </c>
      <c r="D15" s="137"/>
      <c r="E15" s="137">
        <v>10</v>
      </c>
      <c r="F15" s="138">
        <v>12</v>
      </c>
      <c r="G15" s="138"/>
      <c r="H15" s="138"/>
      <c r="I15" s="138"/>
      <c r="J15" s="241">
        <f t="shared" si="0"/>
        <v>1.9163715186897738E-2</v>
      </c>
      <c r="K15" s="138"/>
      <c r="L15" s="137" t="s">
        <v>73</v>
      </c>
      <c r="M15" s="177"/>
    </row>
    <row r="16" spans="1:13" x14ac:dyDescent="0.35">
      <c r="A16" s="176">
        <v>15</v>
      </c>
      <c r="B16" s="137">
        <v>125</v>
      </c>
      <c r="C16" s="137">
        <v>7.5</v>
      </c>
      <c r="D16" s="137"/>
      <c r="E16" s="137">
        <v>15</v>
      </c>
      <c r="F16" s="138">
        <v>13</v>
      </c>
      <c r="G16" s="138"/>
      <c r="H16" s="138"/>
      <c r="I16" s="138"/>
      <c r="J16" s="241">
        <f t="shared" si="0"/>
        <v>3.0944687637859465E-2</v>
      </c>
      <c r="K16" s="138"/>
      <c r="L16" s="137" t="s">
        <v>10</v>
      </c>
      <c r="M16" s="177"/>
    </row>
    <row r="17" spans="1:13" x14ac:dyDescent="0.35">
      <c r="A17" s="176">
        <v>16</v>
      </c>
      <c r="B17" s="137">
        <v>125</v>
      </c>
      <c r="C17" s="137">
        <v>8</v>
      </c>
      <c r="D17" s="137">
        <v>21</v>
      </c>
      <c r="E17" s="137"/>
      <c r="F17" s="138"/>
      <c r="G17" s="138"/>
      <c r="H17" s="138"/>
      <c r="I17" s="138"/>
      <c r="J17" s="241">
        <f t="shared" si="0"/>
        <v>3.4636059005827467E-2</v>
      </c>
      <c r="K17" s="138"/>
      <c r="L17" s="137" t="s">
        <v>6</v>
      </c>
      <c r="M17" s="177" t="s">
        <v>90</v>
      </c>
    </row>
    <row r="18" spans="1:13" x14ac:dyDescent="0.35">
      <c r="A18" s="176">
        <v>17</v>
      </c>
      <c r="B18" s="137">
        <v>125</v>
      </c>
      <c r="C18" s="137">
        <v>9.5</v>
      </c>
      <c r="D18" s="137"/>
      <c r="E18" s="137">
        <v>17</v>
      </c>
      <c r="F18" s="138">
        <v>13</v>
      </c>
      <c r="G18" s="138">
        <v>8</v>
      </c>
      <c r="H18" s="138"/>
      <c r="I18" s="138"/>
      <c r="J18" s="241">
        <f t="shared" si="0"/>
        <v>4.0997784129346806E-2</v>
      </c>
      <c r="K18" s="138"/>
      <c r="L18" s="137" t="s">
        <v>78</v>
      </c>
      <c r="M18" s="177" t="s">
        <v>84</v>
      </c>
    </row>
    <row r="19" spans="1:13" x14ac:dyDescent="0.35">
      <c r="A19" s="176">
        <v>18</v>
      </c>
      <c r="B19" s="137">
        <v>125</v>
      </c>
      <c r="C19" s="137">
        <v>8</v>
      </c>
      <c r="D19" s="137">
        <v>16</v>
      </c>
      <c r="E19" s="137"/>
      <c r="F19" s="138"/>
      <c r="G19" s="138"/>
      <c r="H19" s="138"/>
      <c r="I19" s="138"/>
      <c r="J19" s="241">
        <f t="shared" si="0"/>
        <v>2.0106192982974676E-2</v>
      </c>
      <c r="K19" s="138"/>
      <c r="L19" s="137" t="s">
        <v>73</v>
      </c>
      <c r="M19" s="177"/>
    </row>
    <row r="20" spans="1:13" x14ac:dyDescent="0.35">
      <c r="A20" s="176">
        <v>19</v>
      </c>
      <c r="B20" s="137">
        <v>125</v>
      </c>
      <c r="C20" s="137">
        <v>9</v>
      </c>
      <c r="D20" s="137">
        <v>22</v>
      </c>
      <c r="E20" s="137"/>
      <c r="F20" s="138"/>
      <c r="G20" s="138"/>
      <c r="H20" s="138"/>
      <c r="I20" s="138"/>
      <c r="J20" s="241">
        <f t="shared" si="0"/>
        <v>3.8013271108436497E-2</v>
      </c>
      <c r="K20" s="138"/>
      <c r="L20" s="137" t="s">
        <v>78</v>
      </c>
      <c r="M20" s="177"/>
    </row>
    <row r="21" spans="1:13" x14ac:dyDescent="0.35">
      <c r="A21" s="176">
        <v>20</v>
      </c>
      <c r="B21" s="137">
        <v>125</v>
      </c>
      <c r="C21" s="137">
        <v>8.5</v>
      </c>
      <c r="D21" s="137">
        <v>14</v>
      </c>
      <c r="E21" s="137"/>
      <c r="F21" s="138"/>
      <c r="G21" s="138"/>
      <c r="H21" s="138"/>
      <c r="I21" s="138"/>
      <c r="J21" s="241">
        <f t="shared" si="0"/>
        <v>1.5393804002589988E-2</v>
      </c>
      <c r="K21" s="138"/>
      <c r="L21" s="137" t="s">
        <v>76</v>
      </c>
      <c r="M21" s="177"/>
    </row>
    <row r="22" spans="1:13" x14ac:dyDescent="0.35">
      <c r="A22" s="196">
        <v>21</v>
      </c>
      <c r="B22" s="156">
        <v>125</v>
      </c>
      <c r="C22" s="156">
        <v>8</v>
      </c>
      <c r="D22" s="156"/>
      <c r="E22" s="156">
        <v>17</v>
      </c>
      <c r="F22" s="149">
        <v>16</v>
      </c>
      <c r="G22" s="149">
        <v>15</v>
      </c>
      <c r="H22" s="149"/>
      <c r="I22" s="149"/>
      <c r="J22" s="242">
        <f t="shared" si="0"/>
        <v>6.0475658581603517E-2</v>
      </c>
      <c r="K22" s="149">
        <v>3</v>
      </c>
      <c r="L22" s="156" t="s">
        <v>73</v>
      </c>
      <c r="M22" s="197" t="s">
        <v>84</v>
      </c>
    </row>
    <row r="23" spans="1:13" x14ac:dyDescent="0.35">
      <c r="A23" s="176">
        <v>22</v>
      </c>
      <c r="B23" s="137">
        <v>46</v>
      </c>
      <c r="C23" s="137">
        <v>2.5</v>
      </c>
      <c r="D23" s="137">
        <v>5</v>
      </c>
      <c r="E23" s="137"/>
      <c r="F23" s="138"/>
      <c r="G23" s="138"/>
      <c r="H23" s="138"/>
      <c r="I23" s="138"/>
      <c r="J23" s="241">
        <f t="shared" si="0"/>
        <v>1.9634954084936209E-3</v>
      </c>
      <c r="K23" s="138"/>
      <c r="L23" s="137" t="s">
        <v>74</v>
      </c>
      <c r="M23" s="177"/>
    </row>
    <row r="24" spans="1:13" x14ac:dyDescent="0.35">
      <c r="A24" s="176">
        <v>23</v>
      </c>
      <c r="B24" s="137">
        <v>125</v>
      </c>
      <c r="C24" s="137">
        <v>9</v>
      </c>
      <c r="D24" s="137">
        <v>16</v>
      </c>
      <c r="E24" s="137"/>
      <c r="F24" s="138"/>
      <c r="G24" s="138"/>
      <c r="H24" s="138"/>
      <c r="I24" s="138"/>
      <c r="J24" s="241">
        <f t="shared" si="0"/>
        <v>2.0106192982974676E-2</v>
      </c>
      <c r="K24" s="138"/>
      <c r="L24" s="137" t="s">
        <v>76</v>
      </c>
      <c r="M24" s="177"/>
    </row>
    <row r="25" spans="1:13" x14ac:dyDescent="0.35">
      <c r="A25" s="176">
        <v>24</v>
      </c>
      <c r="B25" s="137">
        <v>125</v>
      </c>
      <c r="C25" s="137">
        <v>9</v>
      </c>
      <c r="D25" s="137">
        <v>21</v>
      </c>
      <c r="E25" s="137"/>
      <c r="F25" s="138"/>
      <c r="G25" s="138"/>
      <c r="H25" s="138"/>
      <c r="I25" s="138"/>
      <c r="J25" s="241">
        <f t="shared" si="0"/>
        <v>3.4636059005827467E-2</v>
      </c>
      <c r="K25" s="138">
        <v>1</v>
      </c>
      <c r="L25" s="137" t="s">
        <v>76</v>
      </c>
      <c r="M25" s="177"/>
    </row>
    <row r="26" spans="1:13" x14ac:dyDescent="0.35">
      <c r="A26" s="176">
        <v>25</v>
      </c>
      <c r="B26" s="137">
        <v>112</v>
      </c>
      <c r="C26" s="137">
        <v>2</v>
      </c>
      <c r="D26" s="137">
        <v>6</v>
      </c>
      <c r="E26" s="137"/>
      <c r="F26" s="138"/>
      <c r="G26" s="138"/>
      <c r="H26" s="138"/>
      <c r="I26" s="138"/>
      <c r="J26" s="241">
        <f t="shared" si="0"/>
        <v>2.8274333882308137E-3</v>
      </c>
      <c r="K26" s="138"/>
      <c r="L26" s="137" t="s">
        <v>6</v>
      </c>
      <c r="M26" s="177"/>
    </row>
    <row r="27" spans="1:13" x14ac:dyDescent="0.35">
      <c r="A27" s="176">
        <v>26</v>
      </c>
      <c r="B27" s="137">
        <v>46</v>
      </c>
      <c r="C27" s="137">
        <v>2.5</v>
      </c>
      <c r="D27" s="137">
        <v>7</v>
      </c>
      <c r="E27" s="137"/>
      <c r="F27" s="138"/>
      <c r="G27" s="138"/>
      <c r="H27" s="138"/>
      <c r="I27" s="138"/>
      <c r="J27" s="241">
        <f t="shared" si="0"/>
        <v>3.8484510006474969E-3</v>
      </c>
      <c r="K27" s="138"/>
      <c r="L27" s="137" t="s">
        <v>6</v>
      </c>
      <c r="M27" s="177"/>
    </row>
    <row r="28" spans="1:13" x14ac:dyDescent="0.35">
      <c r="A28" s="176">
        <v>27</v>
      </c>
      <c r="B28" s="137">
        <v>125</v>
      </c>
      <c r="C28" s="137">
        <v>8</v>
      </c>
      <c r="D28" s="137">
        <v>21</v>
      </c>
      <c r="E28" s="137"/>
      <c r="F28" s="138"/>
      <c r="G28" s="138"/>
      <c r="H28" s="138"/>
      <c r="I28" s="138"/>
      <c r="J28" s="241">
        <f t="shared" si="0"/>
        <v>3.4636059005827467E-2</v>
      </c>
      <c r="K28" s="138">
        <v>1</v>
      </c>
      <c r="L28" s="137" t="s">
        <v>76</v>
      </c>
      <c r="M28" s="177"/>
    </row>
    <row r="29" spans="1:13" x14ac:dyDescent="0.35">
      <c r="A29" s="176">
        <v>28</v>
      </c>
      <c r="B29" s="137">
        <v>125</v>
      </c>
      <c r="C29" s="137">
        <v>9.5</v>
      </c>
      <c r="D29" s="137"/>
      <c r="E29" s="137">
        <v>10</v>
      </c>
      <c r="F29" s="138">
        <v>19</v>
      </c>
      <c r="G29" s="138"/>
      <c r="H29" s="138"/>
      <c r="I29" s="138"/>
      <c r="J29" s="241">
        <f t="shared" si="0"/>
        <v>3.620685533262237E-2</v>
      </c>
      <c r="K29" s="138"/>
      <c r="L29" s="137" t="s">
        <v>78</v>
      </c>
      <c r="M29" s="177"/>
    </row>
    <row r="30" spans="1:13" x14ac:dyDescent="0.35">
      <c r="A30" s="176">
        <v>29</v>
      </c>
      <c r="B30" s="137">
        <v>125</v>
      </c>
      <c r="C30" s="137">
        <v>9</v>
      </c>
      <c r="D30" s="137">
        <v>21</v>
      </c>
      <c r="E30" s="137"/>
      <c r="F30" s="138"/>
      <c r="G30" s="138"/>
      <c r="H30" s="138"/>
      <c r="I30" s="138"/>
      <c r="J30" s="241">
        <f t="shared" si="0"/>
        <v>3.4636059005827467E-2</v>
      </c>
      <c r="K30" s="138">
        <v>1</v>
      </c>
      <c r="L30" s="137" t="s">
        <v>12</v>
      </c>
      <c r="M30" s="177"/>
    </row>
    <row r="31" spans="1:13" x14ac:dyDescent="0.35">
      <c r="A31" s="176">
        <v>30</v>
      </c>
      <c r="B31" s="137">
        <v>125</v>
      </c>
      <c r="C31" s="137">
        <v>4</v>
      </c>
      <c r="D31" s="137"/>
      <c r="E31" s="137">
        <v>7</v>
      </c>
      <c r="F31" s="138">
        <v>8</v>
      </c>
      <c r="G31" s="138"/>
      <c r="H31" s="138"/>
      <c r="I31" s="138"/>
      <c r="J31" s="241">
        <f t="shared" si="0"/>
        <v>8.8749992463911659E-3</v>
      </c>
      <c r="K31" s="138"/>
      <c r="L31" s="137" t="s">
        <v>82</v>
      </c>
      <c r="M31" s="177" t="s">
        <v>91</v>
      </c>
    </row>
    <row r="32" spans="1:13" x14ac:dyDescent="0.35">
      <c r="A32" s="176">
        <v>31</v>
      </c>
      <c r="B32" s="137">
        <v>125</v>
      </c>
      <c r="C32" s="137">
        <v>8</v>
      </c>
      <c r="D32" s="137"/>
      <c r="E32" s="137">
        <v>18</v>
      </c>
      <c r="F32" s="138">
        <v>10</v>
      </c>
      <c r="G32" s="138"/>
      <c r="H32" s="138"/>
      <c r="I32" s="138"/>
      <c r="J32" s="241">
        <f t="shared" si="0"/>
        <v>3.3300882128051809E-2</v>
      </c>
      <c r="K32" s="138"/>
      <c r="L32" s="137" t="s">
        <v>73</v>
      </c>
      <c r="M32" s="177"/>
    </row>
    <row r="33" spans="1:13" x14ac:dyDescent="0.35">
      <c r="A33" s="176">
        <v>32</v>
      </c>
      <c r="B33" s="137">
        <v>125</v>
      </c>
      <c r="C33" s="137">
        <v>6</v>
      </c>
      <c r="D33" s="137">
        <v>14</v>
      </c>
      <c r="E33" s="137"/>
      <c r="F33" s="138"/>
      <c r="G33" s="138"/>
      <c r="H33" s="138"/>
      <c r="I33" s="138"/>
      <c r="J33" s="241">
        <f t="shared" si="0"/>
        <v>1.5393804002589988E-2</v>
      </c>
      <c r="K33" s="138"/>
      <c r="L33" s="137" t="s">
        <v>5</v>
      </c>
      <c r="M33" s="177"/>
    </row>
    <row r="34" spans="1:13" x14ac:dyDescent="0.35">
      <c r="A34" s="176">
        <v>33</v>
      </c>
      <c r="B34" s="137">
        <v>46</v>
      </c>
      <c r="C34" s="137">
        <v>2.5</v>
      </c>
      <c r="D34" s="137">
        <v>7</v>
      </c>
      <c r="E34" s="137"/>
      <c r="F34" s="138"/>
      <c r="G34" s="138"/>
      <c r="H34" s="138"/>
      <c r="I34" s="138"/>
      <c r="J34" s="241">
        <f t="shared" si="0"/>
        <v>3.8484510006474969E-3</v>
      </c>
      <c r="K34" s="138"/>
      <c r="L34" s="137" t="s">
        <v>74</v>
      </c>
      <c r="M34" s="177"/>
    </row>
    <row r="35" spans="1:13" x14ac:dyDescent="0.35">
      <c r="A35" s="176">
        <v>34</v>
      </c>
      <c r="B35" s="137">
        <v>46</v>
      </c>
      <c r="C35" s="137">
        <v>2.5</v>
      </c>
      <c r="D35" s="137">
        <v>6</v>
      </c>
      <c r="E35" s="137"/>
      <c r="F35" s="138"/>
      <c r="G35" s="138"/>
      <c r="H35" s="138"/>
      <c r="I35" s="138"/>
      <c r="J35" s="241">
        <f t="shared" si="0"/>
        <v>2.8274333882308137E-3</v>
      </c>
      <c r="K35" s="138"/>
      <c r="L35" s="137" t="s">
        <v>74</v>
      </c>
      <c r="M35" s="177"/>
    </row>
    <row r="36" spans="1:13" x14ac:dyDescent="0.35">
      <c r="A36" s="176">
        <v>35</v>
      </c>
      <c r="B36" s="137">
        <v>125</v>
      </c>
      <c r="C36" s="137">
        <v>9.5</v>
      </c>
      <c r="D36" s="137"/>
      <c r="E36" s="137">
        <v>17</v>
      </c>
      <c r="F36" s="138">
        <v>22</v>
      </c>
      <c r="G36" s="138"/>
      <c r="H36" s="138"/>
      <c r="I36" s="138"/>
      <c r="J36" s="241">
        <f t="shared" si="0"/>
        <v>6.0711278030622762E-2</v>
      </c>
      <c r="K36" s="138"/>
      <c r="L36" s="137" t="s">
        <v>76</v>
      </c>
      <c r="M36" s="177"/>
    </row>
    <row r="37" spans="1:13" x14ac:dyDescent="0.35">
      <c r="A37" s="176">
        <v>36</v>
      </c>
      <c r="B37" s="137">
        <v>46</v>
      </c>
      <c r="C37" s="137">
        <v>3</v>
      </c>
      <c r="D37" s="137">
        <v>5</v>
      </c>
      <c r="E37" s="137"/>
      <c r="F37" s="138"/>
      <c r="G37" s="138"/>
      <c r="H37" s="138"/>
      <c r="I37" s="138"/>
      <c r="J37" s="241">
        <f t="shared" si="0"/>
        <v>1.9634954084936209E-3</v>
      </c>
      <c r="K37" s="138"/>
      <c r="L37" s="137" t="s">
        <v>74</v>
      </c>
      <c r="M37" s="177"/>
    </row>
    <row r="38" spans="1:13" x14ac:dyDescent="0.35">
      <c r="A38" s="176">
        <v>37</v>
      </c>
      <c r="B38" s="137">
        <v>46</v>
      </c>
      <c r="C38" s="137">
        <v>3.5</v>
      </c>
      <c r="D38" s="137">
        <v>5</v>
      </c>
      <c r="E38" s="137"/>
      <c r="F38" s="138"/>
      <c r="G38" s="138"/>
      <c r="H38" s="138"/>
      <c r="I38" s="138"/>
      <c r="J38" s="241">
        <f t="shared" si="0"/>
        <v>1.9634954084936209E-3</v>
      </c>
      <c r="K38" s="138"/>
      <c r="L38" s="137" t="s">
        <v>74</v>
      </c>
      <c r="M38" s="177"/>
    </row>
    <row r="39" spans="1:13" x14ac:dyDescent="0.35">
      <c r="A39" s="176">
        <v>38</v>
      </c>
      <c r="B39" s="137">
        <v>125</v>
      </c>
      <c r="C39" s="137">
        <v>8</v>
      </c>
      <c r="D39" s="137">
        <v>9</v>
      </c>
      <c r="E39" s="137">
        <v>4</v>
      </c>
      <c r="F39" s="138"/>
      <c r="G39" s="138"/>
      <c r="H39" s="138"/>
      <c r="I39" s="138"/>
      <c r="J39" s="241">
        <f t="shared" si="0"/>
        <v>7.6183621849552473E-3</v>
      </c>
      <c r="K39" s="138"/>
      <c r="L39" s="137" t="s">
        <v>73</v>
      </c>
      <c r="M39" s="177" t="s">
        <v>97</v>
      </c>
    </row>
    <row r="40" spans="1:13" x14ac:dyDescent="0.35">
      <c r="A40" s="176">
        <v>39</v>
      </c>
      <c r="B40" s="137">
        <v>125</v>
      </c>
      <c r="C40" s="137">
        <v>2</v>
      </c>
      <c r="D40" s="137">
        <v>6</v>
      </c>
      <c r="E40" s="137"/>
      <c r="F40" s="138"/>
      <c r="G40" s="138"/>
      <c r="H40" s="138"/>
      <c r="I40" s="138"/>
      <c r="J40" s="241">
        <f t="shared" si="0"/>
        <v>2.8274333882308137E-3</v>
      </c>
      <c r="K40" s="138"/>
      <c r="L40" s="137" t="s">
        <v>75</v>
      </c>
      <c r="M40" s="177"/>
    </row>
    <row r="41" spans="1:13" x14ac:dyDescent="0.35">
      <c r="A41" s="176">
        <v>40</v>
      </c>
      <c r="B41" s="137">
        <v>125</v>
      </c>
      <c r="C41" s="137">
        <v>9.5</v>
      </c>
      <c r="D41" s="137">
        <v>17</v>
      </c>
      <c r="E41" s="137"/>
      <c r="F41" s="138"/>
      <c r="G41" s="138"/>
      <c r="H41" s="138"/>
      <c r="I41" s="138"/>
      <c r="J41" s="241">
        <f t="shared" si="0"/>
        <v>2.2698006922186261E-2</v>
      </c>
      <c r="K41" s="138">
        <v>1</v>
      </c>
      <c r="L41" s="137" t="s">
        <v>76</v>
      </c>
      <c r="M41" s="177"/>
    </row>
    <row r="42" spans="1:13" x14ac:dyDescent="0.35">
      <c r="A42" s="181">
        <v>41</v>
      </c>
      <c r="B42" s="133">
        <v>125</v>
      </c>
      <c r="C42" s="133">
        <v>9.5</v>
      </c>
      <c r="D42" s="133"/>
      <c r="E42" s="133">
        <v>23</v>
      </c>
      <c r="F42" s="134">
        <v>14</v>
      </c>
      <c r="G42" s="134"/>
      <c r="H42" s="134"/>
      <c r="I42" s="134"/>
      <c r="J42" s="244">
        <f t="shared" si="0"/>
        <v>5.6941366846315004E-2</v>
      </c>
      <c r="K42" s="134">
        <v>2</v>
      </c>
      <c r="L42" s="133" t="s">
        <v>12</v>
      </c>
      <c r="M42" s="182"/>
    </row>
    <row r="43" spans="1:13" x14ac:dyDescent="0.35">
      <c r="A43" s="176">
        <v>42</v>
      </c>
      <c r="B43" s="137">
        <v>125</v>
      </c>
      <c r="C43" s="137">
        <v>9</v>
      </c>
      <c r="D43" s="137">
        <v>16</v>
      </c>
      <c r="E43" s="137"/>
      <c r="F43" s="138"/>
      <c r="G43" s="138"/>
      <c r="H43" s="138"/>
      <c r="I43" s="138"/>
      <c r="J43" s="241">
        <f t="shared" si="0"/>
        <v>2.0106192982974676E-2</v>
      </c>
      <c r="K43" s="138"/>
      <c r="L43" s="137" t="s">
        <v>76</v>
      </c>
      <c r="M43" s="177"/>
    </row>
    <row r="44" spans="1:13" x14ac:dyDescent="0.35">
      <c r="A44" s="176">
        <v>43</v>
      </c>
      <c r="B44" s="137">
        <v>125</v>
      </c>
      <c r="C44" s="137">
        <v>10</v>
      </c>
      <c r="D44" s="137">
        <v>21</v>
      </c>
      <c r="E44" s="137"/>
      <c r="F44" s="138"/>
      <c r="G44" s="138"/>
      <c r="H44" s="138"/>
      <c r="I44" s="138"/>
      <c r="J44" s="241">
        <f t="shared" si="0"/>
        <v>3.4636059005827467E-2</v>
      </c>
      <c r="K44" s="138">
        <v>1</v>
      </c>
      <c r="L44" s="137" t="s">
        <v>78</v>
      </c>
      <c r="M44" s="177"/>
    </row>
    <row r="45" spans="1:13" ht="15" thickBot="1" x14ac:dyDescent="0.4">
      <c r="A45" s="178">
        <f>SUBTOTAL(103,Tabla6[número de árboles])</f>
        <v>43</v>
      </c>
      <c r="B45" s="179" t="s">
        <v>175</v>
      </c>
      <c r="C45" s="313">
        <f>SUBTOTAL(101,Tabla6[altura])</f>
        <v>7.0232558139534884</v>
      </c>
      <c r="D45" s="313">
        <f>SUBTOTAL(101,Tabla6[diámetro])</f>
        <v>13.407407407407407</v>
      </c>
      <c r="E45" s="313">
        <f>SUBTOTAL(101,Tabla6[Hermanado1])</f>
        <v>14.882352941176471</v>
      </c>
      <c r="F45" s="314">
        <f>SUBTOTAL(101,Tabla6[Hermanado2])</f>
        <v>16.1875</v>
      </c>
      <c r="G45" s="314">
        <f>SUBTOTAL(101,Tabla6[Hermanado3])</f>
        <v>11.333333333333334</v>
      </c>
      <c r="H45" s="314" t="e">
        <f>SUBTOTAL(101,Tabla6[Hermanado4])</f>
        <v>#DIV/0!</v>
      </c>
      <c r="I45" s="206" t="e">
        <f>SUBTOTAL(101,Tabla6[Hermanado5])</f>
        <v>#DIV/0!</v>
      </c>
      <c r="J45" s="206"/>
      <c r="K45" s="314">
        <f>SUBTOTAL(109,Tabla6[apeados])</f>
        <v>14</v>
      </c>
      <c r="L45" s="179"/>
      <c r="M45" s="172">
        <f>SUBTOTAL(103,Tabla6[observaciones])</f>
        <v>8</v>
      </c>
    </row>
    <row r="50" spans="1:11" x14ac:dyDescent="0.3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x14ac:dyDescent="0.3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1:11" x14ac:dyDescent="0.3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1:11" x14ac:dyDescent="0.3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x14ac:dyDescent="0.3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1" x14ac:dyDescent="0.3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 x14ac:dyDescent="0.3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1" x14ac:dyDescent="0.3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x14ac:dyDescent="0.3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3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3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x14ac:dyDescent="0.3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1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1:11" x14ac:dyDescent="0.35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1:11" x14ac:dyDescent="0.35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x14ac:dyDescent="0.35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1:11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1:11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58" x14ac:dyDescent="0.35">
      <c r="A70" s="247" t="s">
        <v>232</v>
      </c>
      <c r="B70" s="247" t="s">
        <v>216</v>
      </c>
      <c r="C70" s="285" t="s">
        <v>237</v>
      </c>
      <c r="D70" s="247" t="s">
        <v>218</v>
      </c>
      <c r="E70" s="247" t="s">
        <v>219</v>
      </c>
      <c r="F70" s="247" t="s">
        <v>230</v>
      </c>
      <c r="G70" s="247" t="s">
        <v>224</v>
      </c>
      <c r="H70" s="247" t="s">
        <v>226</v>
      </c>
      <c r="I70" s="247" t="s">
        <v>227</v>
      </c>
      <c r="J70" s="74"/>
      <c r="K70" s="74"/>
    </row>
    <row r="71" spans="1:11" x14ac:dyDescent="0.35">
      <c r="A71" s="284">
        <v>125</v>
      </c>
      <c r="B71" s="247"/>
      <c r="C71" s="247"/>
      <c r="D71" s="247"/>
      <c r="E71" s="247"/>
      <c r="F71" s="247"/>
      <c r="G71" s="247"/>
      <c r="H71" s="247"/>
      <c r="I71" s="247"/>
      <c r="J71" s="74"/>
      <c r="K71" s="74"/>
    </row>
    <row r="72" spans="1:11" x14ac:dyDescent="0.35">
      <c r="A72" s="3">
        <v>130</v>
      </c>
      <c r="B72" s="249">
        <f>Tabla8[[#Totals],[AB m2]]*C86/C85</f>
        <v>0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247"/>
      <c r="K72" s="247"/>
    </row>
    <row r="73" spans="1:11" x14ac:dyDescent="0.35">
      <c r="A73" s="3">
        <v>112</v>
      </c>
      <c r="B73" s="2" t="s">
        <v>217</v>
      </c>
      <c r="C73" s="2"/>
      <c r="D73" s="2"/>
      <c r="E73" s="2"/>
      <c r="F73" s="2"/>
      <c r="G73" s="2"/>
      <c r="H73" s="2"/>
      <c r="I73" s="2"/>
      <c r="J73" s="284"/>
      <c r="K73" s="247"/>
    </row>
    <row r="74" spans="1:11" x14ac:dyDescent="0.35">
      <c r="A74" s="3">
        <v>46</v>
      </c>
      <c r="B74" s="2"/>
      <c r="C74" s="2"/>
      <c r="D74" s="2"/>
      <c r="E74" s="2"/>
      <c r="F74" s="2"/>
      <c r="G74" s="2"/>
      <c r="H74" s="2"/>
      <c r="I74" s="2"/>
      <c r="J74" s="3"/>
      <c r="K74" s="249"/>
    </row>
    <row r="75" spans="1:11" x14ac:dyDescent="0.35">
      <c r="A75" s="3">
        <v>43</v>
      </c>
      <c r="B75" s="2"/>
      <c r="C75" s="2"/>
      <c r="D75" s="2"/>
      <c r="E75" s="2"/>
      <c r="F75" s="2"/>
      <c r="G75" s="2"/>
      <c r="H75" s="2"/>
      <c r="I75" s="2"/>
      <c r="J75" s="3"/>
      <c r="K75" s="2"/>
    </row>
    <row r="76" spans="1:11" x14ac:dyDescent="0.35">
      <c r="A76" s="3">
        <v>23</v>
      </c>
      <c r="B76" s="4"/>
      <c r="C76" s="4"/>
      <c r="D76" s="4"/>
      <c r="E76" s="4"/>
      <c r="F76" s="4"/>
      <c r="G76" s="4"/>
      <c r="H76" s="4"/>
      <c r="I76" s="4"/>
      <c r="J76" s="3"/>
      <c r="K76" s="2"/>
    </row>
    <row r="77" spans="1:11" x14ac:dyDescent="0.35">
      <c r="A77" s="3" t="s">
        <v>51</v>
      </c>
      <c r="B77" s="2"/>
      <c r="C77" s="2"/>
      <c r="D77" s="2"/>
      <c r="E77" s="2"/>
      <c r="F77" s="2"/>
      <c r="G77" s="2"/>
      <c r="H77" s="2"/>
      <c r="I77" s="2"/>
      <c r="J77" s="3"/>
      <c r="K77" s="2"/>
    </row>
    <row r="78" spans="1:11" ht="15" thickBot="1" x14ac:dyDescent="0.4">
      <c r="A78" s="19" t="s">
        <v>63</v>
      </c>
    </row>
    <row r="79" spans="1:11" ht="15" thickBot="1" x14ac:dyDescent="0.4">
      <c r="A79" s="365" t="s">
        <v>135</v>
      </c>
      <c r="B79" s="366"/>
      <c r="C79" s="366"/>
      <c r="D79" s="366"/>
      <c r="E79" s="366"/>
      <c r="F79" s="366"/>
      <c r="G79" s="366"/>
      <c r="H79" s="366"/>
      <c r="I79" s="366"/>
      <c r="J79" s="366"/>
      <c r="K79" s="367"/>
    </row>
    <row r="81" spans="1:10" ht="15" thickBot="1" x14ac:dyDescent="0.4"/>
    <row r="82" spans="1:10" ht="15" thickBot="1" x14ac:dyDescent="0.4">
      <c r="A82" t="s">
        <v>128</v>
      </c>
      <c r="B82">
        <f>COUNT(Tabla6[[diámetro]:[Hermanado5]])</f>
        <v>63</v>
      </c>
      <c r="C82">
        <f>25*25</f>
        <v>625</v>
      </c>
      <c r="E82" s="55" t="s">
        <v>29</v>
      </c>
      <c r="F82" s="57"/>
      <c r="G82" s="28" t="s">
        <v>65</v>
      </c>
      <c r="H82" s="30"/>
      <c r="I82" s="28" t="s">
        <v>4</v>
      </c>
      <c r="J82" s="30"/>
    </row>
    <row r="83" spans="1:10" ht="15" thickBot="1" x14ac:dyDescent="0.4">
      <c r="B83">
        <f>B82*C83/C82</f>
        <v>1008</v>
      </c>
      <c r="C83">
        <v>10000</v>
      </c>
      <c r="E83" s="67" t="s">
        <v>30</v>
      </c>
      <c r="F83" s="68" t="s">
        <v>31</v>
      </c>
      <c r="G83" s="20">
        <v>125</v>
      </c>
      <c r="H83" s="21" t="s">
        <v>23</v>
      </c>
      <c r="I83" s="13" t="s">
        <v>6</v>
      </c>
      <c r="J83" s="14" t="s">
        <v>58</v>
      </c>
    </row>
    <row r="84" spans="1:10" ht="21.5" thickBot="1" x14ac:dyDescent="0.55000000000000004">
      <c r="A84" s="27" t="s">
        <v>89</v>
      </c>
      <c r="B84" s="49" t="s">
        <v>28</v>
      </c>
      <c r="C84" s="10" t="s">
        <v>52</v>
      </c>
      <c r="D84" s="50" t="s">
        <v>147</v>
      </c>
      <c r="E84" s="69" t="s">
        <v>32</v>
      </c>
      <c r="F84" s="70" t="s">
        <v>33</v>
      </c>
      <c r="G84" s="22">
        <v>130</v>
      </c>
      <c r="H84" s="23" t="s">
        <v>25</v>
      </c>
      <c r="I84" s="15" t="s">
        <v>5</v>
      </c>
      <c r="J84" s="16" t="s">
        <v>59</v>
      </c>
    </row>
    <row r="85" spans="1:10" ht="15" thickBot="1" x14ac:dyDescent="0.4">
      <c r="A85" s="10"/>
      <c r="B85" s="12">
        <v>2</v>
      </c>
      <c r="C85" s="12">
        <v>1</v>
      </c>
      <c r="D85" s="49">
        <f>B83</f>
        <v>1008</v>
      </c>
      <c r="E85" s="69" t="s">
        <v>34</v>
      </c>
      <c r="F85" s="70" t="s">
        <v>35</v>
      </c>
      <c r="G85" s="22">
        <v>46</v>
      </c>
      <c r="H85" s="23" t="s">
        <v>26</v>
      </c>
      <c r="I85" s="15" t="s">
        <v>13</v>
      </c>
      <c r="J85" s="16" t="s">
        <v>60</v>
      </c>
    </row>
    <row r="86" spans="1:10" x14ac:dyDescent="0.35">
      <c r="E86" s="69" t="s">
        <v>36</v>
      </c>
      <c r="F86" s="71" t="s">
        <v>37</v>
      </c>
      <c r="G86" s="22">
        <v>43</v>
      </c>
      <c r="H86" s="23" t="s">
        <v>27</v>
      </c>
      <c r="I86" s="15" t="s">
        <v>10</v>
      </c>
      <c r="J86" s="16" t="s">
        <v>61</v>
      </c>
    </row>
    <row r="87" spans="1:10" ht="15" thickBot="1" x14ac:dyDescent="0.4">
      <c r="E87" s="69" t="s">
        <v>16</v>
      </c>
      <c r="F87" s="70" t="s">
        <v>38</v>
      </c>
      <c r="G87" s="22">
        <v>23</v>
      </c>
      <c r="H87" s="23" t="s">
        <v>22</v>
      </c>
      <c r="I87" s="17" t="s">
        <v>12</v>
      </c>
      <c r="J87" s="18" t="s">
        <v>62</v>
      </c>
    </row>
    <row r="88" spans="1:10" x14ac:dyDescent="0.35">
      <c r="E88" s="69" t="s">
        <v>39</v>
      </c>
      <c r="F88" s="70" t="s">
        <v>40</v>
      </c>
      <c r="G88" s="22">
        <v>73</v>
      </c>
      <c r="H88" s="23" t="s">
        <v>24</v>
      </c>
    </row>
    <row r="89" spans="1:10" x14ac:dyDescent="0.35">
      <c r="E89" s="69" t="s">
        <v>41</v>
      </c>
      <c r="F89" s="70" t="s">
        <v>42</v>
      </c>
      <c r="G89" s="22">
        <v>87</v>
      </c>
      <c r="H89" s="23" t="s">
        <v>47</v>
      </c>
    </row>
    <row r="90" spans="1:10" x14ac:dyDescent="0.35">
      <c r="E90" s="69" t="s">
        <v>43</v>
      </c>
      <c r="F90" s="70" t="s">
        <v>44</v>
      </c>
      <c r="G90" s="22">
        <v>3</v>
      </c>
      <c r="H90" s="23" t="s">
        <v>48</v>
      </c>
    </row>
    <row r="91" spans="1:10" ht="15" thickBot="1" x14ac:dyDescent="0.4">
      <c r="E91" s="72" t="s">
        <v>45</v>
      </c>
      <c r="F91" s="73" t="s">
        <v>46</v>
      </c>
      <c r="G91" s="22">
        <v>82</v>
      </c>
      <c r="H91" s="23" t="s">
        <v>50</v>
      </c>
    </row>
    <row r="92" spans="1:10" x14ac:dyDescent="0.35">
      <c r="G92" s="22">
        <v>83</v>
      </c>
      <c r="H92" s="23" t="s">
        <v>49</v>
      </c>
    </row>
    <row r="93" spans="1:10" x14ac:dyDescent="0.35">
      <c r="G93" s="22">
        <v>42</v>
      </c>
      <c r="H93" s="23" t="s">
        <v>51</v>
      </c>
    </row>
    <row r="94" spans="1:10" x14ac:dyDescent="0.35">
      <c r="G94" s="22">
        <v>112</v>
      </c>
      <c r="H94" s="23" t="s">
        <v>66</v>
      </c>
    </row>
    <row r="95" spans="1:10" ht="15" thickBot="1" x14ac:dyDescent="0.4">
      <c r="G95" s="25">
        <v>113</v>
      </c>
      <c r="H95" s="26" t="s">
        <v>67</v>
      </c>
    </row>
    <row r="100" spans="1:10" x14ac:dyDescent="0.35">
      <c r="A100" s="271" t="s">
        <v>228</v>
      </c>
      <c r="B100" s="271" t="s">
        <v>206</v>
      </c>
      <c r="C100" s="271" t="s">
        <v>229</v>
      </c>
      <c r="D100" s="271" t="s">
        <v>142</v>
      </c>
      <c r="E100" s="271" t="s">
        <v>147</v>
      </c>
      <c r="F100" s="271" t="s">
        <v>225</v>
      </c>
      <c r="G100" s="271" t="s">
        <v>207</v>
      </c>
      <c r="H100" s="271" t="s">
        <v>231</v>
      </c>
      <c r="I100" s="271" t="s">
        <v>213</v>
      </c>
      <c r="J100" s="272" t="s">
        <v>215</v>
      </c>
    </row>
    <row r="101" spans="1:10" x14ac:dyDescent="0.35">
      <c r="A101" s="245" t="s">
        <v>212</v>
      </c>
      <c r="B101" s="269">
        <f>COUNTIF($D$1:$I$44,"&gt;=2,5")-COUNTIF($D$1:$I$44,"&gt;7,4")</f>
        <v>11</v>
      </c>
      <c r="C101" s="269">
        <v>5</v>
      </c>
      <c r="D101" s="269"/>
      <c r="E101" s="269">
        <f>(B101*10000)/625</f>
        <v>176</v>
      </c>
      <c r="F101" s="270">
        <f>(PI()/4)*(C101/100)^2</f>
        <v>1.9634954084936209E-3</v>
      </c>
      <c r="G101" s="270">
        <f>E101*F101</f>
        <v>0.34557519189487729</v>
      </c>
      <c r="H101" s="269"/>
      <c r="I101" s="269"/>
      <c r="J101" s="269"/>
    </row>
    <row r="102" spans="1:10" x14ac:dyDescent="0.35">
      <c r="A102" s="246" t="s">
        <v>211</v>
      </c>
      <c r="B102" s="257">
        <f>COUNTIF($D$1:$I$44,"&gt;=7,5")-COUNTIF($D$1:$I$44,"&gt;12,4")</f>
        <v>12</v>
      </c>
      <c r="C102" s="257">
        <v>10</v>
      </c>
      <c r="D102" s="257"/>
      <c r="E102" s="257">
        <f t="shared" ref="E102:E108" si="1">(B102*10000)/625</f>
        <v>192</v>
      </c>
      <c r="F102" s="258">
        <f t="shared" ref="F102:F108" si="2">(PI()/4)*(C102/100)^2</f>
        <v>7.8539816339744835E-3</v>
      </c>
      <c r="G102" s="258">
        <f t="shared" ref="G102:G108" si="3">E102*F102</f>
        <v>1.5079644737231008</v>
      </c>
      <c r="H102" s="257"/>
      <c r="I102" s="257"/>
      <c r="J102" s="257"/>
    </row>
    <row r="103" spans="1:10" x14ac:dyDescent="0.35">
      <c r="A103" s="245" t="s">
        <v>209</v>
      </c>
      <c r="B103" s="269">
        <f>COUNTIF($D$1:$I$44,"&gt;=12,5")-COUNTIF($D$1:$I$44,"&gt;17,4")</f>
        <v>20</v>
      </c>
      <c r="C103" s="269">
        <v>15</v>
      </c>
      <c r="D103" s="269"/>
      <c r="E103" s="269">
        <f t="shared" si="1"/>
        <v>320</v>
      </c>
      <c r="F103" s="270">
        <f t="shared" si="2"/>
        <v>1.7671458676442587E-2</v>
      </c>
      <c r="G103" s="270">
        <f t="shared" si="3"/>
        <v>5.6548667764616276</v>
      </c>
      <c r="H103" s="269"/>
      <c r="I103" s="269"/>
      <c r="J103" s="269"/>
    </row>
    <row r="104" spans="1:10" x14ac:dyDescent="0.35">
      <c r="A104" s="246" t="s">
        <v>208</v>
      </c>
      <c r="B104" s="257">
        <f>COUNTIF($D$1:$I$44,"&gt;=17,5")-COUNTIF($D$1:$I$44,"&gt;22,4")</f>
        <v>16</v>
      </c>
      <c r="C104" s="257">
        <v>20</v>
      </c>
      <c r="D104" s="257"/>
      <c r="E104" s="257">
        <f t="shared" si="1"/>
        <v>256</v>
      </c>
      <c r="F104" s="258">
        <f t="shared" si="2"/>
        <v>3.1415926535897934E-2</v>
      </c>
      <c r="G104" s="258">
        <f t="shared" si="3"/>
        <v>8.0424771931898711</v>
      </c>
      <c r="H104" s="257"/>
      <c r="I104" s="257"/>
      <c r="J104" s="257"/>
    </row>
    <row r="105" spans="1:10" x14ac:dyDescent="0.35">
      <c r="A105" s="245" t="s">
        <v>210</v>
      </c>
      <c r="B105" s="269">
        <f>COUNTIF($D$1:$I$44,"&gt;=22,5")-COUNTIF($D$1:$I$44,"&gt;27,4")</f>
        <v>4</v>
      </c>
      <c r="C105" s="269">
        <v>25</v>
      </c>
      <c r="D105" s="269"/>
      <c r="E105" s="269">
        <f t="shared" si="1"/>
        <v>64</v>
      </c>
      <c r="F105" s="270">
        <f t="shared" si="2"/>
        <v>4.9087385212340517E-2</v>
      </c>
      <c r="G105" s="270">
        <f t="shared" si="3"/>
        <v>3.1415926535897931</v>
      </c>
      <c r="H105" s="269"/>
      <c r="I105" s="269"/>
      <c r="J105" s="269"/>
    </row>
    <row r="106" spans="1:10" x14ac:dyDescent="0.35">
      <c r="A106" s="246" t="s">
        <v>221</v>
      </c>
      <c r="B106" s="257">
        <f>COUNTIF($D$1:$I$44,"&gt;=27,5")-COUNTIF($D$1:$I$44,"&gt;32,4")</f>
        <v>0</v>
      </c>
      <c r="C106" s="257">
        <v>30</v>
      </c>
      <c r="D106" s="257"/>
      <c r="E106" s="257">
        <f t="shared" si="1"/>
        <v>0</v>
      </c>
      <c r="F106" s="258">
        <f t="shared" si="2"/>
        <v>7.0685834705770348E-2</v>
      </c>
      <c r="G106" s="258">
        <f t="shared" si="3"/>
        <v>0</v>
      </c>
      <c r="H106" s="257"/>
      <c r="I106" s="257"/>
      <c r="J106" s="257"/>
    </row>
    <row r="107" spans="1:10" x14ac:dyDescent="0.35">
      <c r="A107" s="245" t="s">
        <v>222</v>
      </c>
      <c r="B107" s="269">
        <f>COUNTIF($D$1:$I$44,"&gt;=32,5")-COUNTIF($D$1:$I$44,"&gt;37,4")</f>
        <v>0</v>
      </c>
      <c r="C107" s="269">
        <v>35</v>
      </c>
      <c r="D107" s="269"/>
      <c r="E107" s="269">
        <f t="shared" si="1"/>
        <v>0</v>
      </c>
      <c r="F107" s="270">
        <f t="shared" si="2"/>
        <v>9.6211275016187398E-2</v>
      </c>
      <c r="G107" s="270">
        <f t="shared" si="3"/>
        <v>0</v>
      </c>
      <c r="H107" s="269"/>
      <c r="I107" s="269"/>
      <c r="J107" s="269"/>
    </row>
    <row r="108" spans="1:10" x14ac:dyDescent="0.35">
      <c r="A108" s="246" t="s">
        <v>223</v>
      </c>
      <c r="B108" s="257">
        <f>COUNTIF($D$1:$I$44,"&gt;=37,5")-COUNTIF($D$1:$I$44,"&gt;42,4")</f>
        <v>0</v>
      </c>
      <c r="C108" s="257">
        <v>40</v>
      </c>
      <c r="D108" s="257"/>
      <c r="E108" s="257">
        <f t="shared" si="1"/>
        <v>0</v>
      </c>
      <c r="F108" s="258">
        <f t="shared" si="2"/>
        <v>0.12566370614359174</v>
      </c>
      <c r="G108" s="258">
        <f t="shared" si="3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SUBTOTAL(109,Tabla28[NÚMERO DE PIES])</f>
        <v>63</v>
      </c>
      <c r="C109" s="268">
        <f>SUBTOTAL(103,Tabla28[CLASE DIAMETRICA])</f>
        <v>8</v>
      </c>
      <c r="D109" s="268"/>
      <c r="E109" s="268">
        <f>SUBTOTAL(109,Tabla28[pies/ha])</f>
        <v>1008</v>
      </c>
      <c r="F109" s="264">
        <f>SUBTOTAL(101,Tabla28[gn (m2)])</f>
        <v>5.0069132916587329E-2</v>
      </c>
      <c r="G109" s="264">
        <f>SUBTOTAL(109,Tabla28[G (m2/ha.)])</f>
        <v>18.692476288859268</v>
      </c>
      <c r="H109" s="268"/>
      <c r="I109" s="268"/>
      <c r="J109" s="268">
        <f>SUBTOTAL(103,Tabla28[AB (m2) final])</f>
        <v>0</v>
      </c>
    </row>
  </sheetData>
  <mergeCells count="1">
    <mergeCell ref="A79:K79"/>
  </mergeCells>
  <pageMargins left="0.47244094488188976" right="0.55118110236220474" top="0.51181102362204722" bottom="0.47244094488188976" header="0.31496062992125984" footer="0.31496062992125984"/>
  <pageSetup paperSize="8" scale="67" orientation="portrait" r:id="rId1"/>
  <headerFooter>
    <oddHeader>&amp;CParcela&amp;"-,Negrita"&amp;K08+000 A3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33" zoomScale="110" zoomScaleNormal="100" zoomScalePageLayoutView="110" workbookViewId="0">
      <selection activeCell="B101" sqref="B101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3.1796875" customWidth="1"/>
    <col min="11" max="11" width="17.7265625" customWidth="1"/>
  </cols>
  <sheetData>
    <row r="1" spans="1:13" x14ac:dyDescent="0.35">
      <c r="A1" s="158" t="s">
        <v>0</v>
      </c>
      <c r="B1" s="33" t="s">
        <v>1</v>
      </c>
      <c r="C1" s="33" t="s">
        <v>2</v>
      </c>
      <c r="D1" s="33" t="s">
        <v>3</v>
      </c>
      <c r="E1" s="54" t="s">
        <v>8</v>
      </c>
      <c r="F1" s="54" t="s">
        <v>7</v>
      </c>
      <c r="G1" s="54" t="s">
        <v>141</v>
      </c>
      <c r="H1" s="54" t="s">
        <v>9</v>
      </c>
      <c r="I1" s="198" t="s">
        <v>195</v>
      </c>
      <c r="J1" s="198" t="s">
        <v>239</v>
      </c>
      <c r="K1" s="34" t="s">
        <v>143</v>
      </c>
      <c r="L1" s="33" t="s">
        <v>4</v>
      </c>
      <c r="M1" s="33" t="s">
        <v>21</v>
      </c>
    </row>
    <row r="2" spans="1:13" x14ac:dyDescent="0.35">
      <c r="A2" s="159">
        <v>1</v>
      </c>
      <c r="B2" s="137">
        <v>125</v>
      </c>
      <c r="C2" s="137">
        <v>7.5</v>
      </c>
      <c r="D2" s="137">
        <v>13</v>
      </c>
      <c r="E2" s="137"/>
      <c r="F2" s="137"/>
      <c r="G2" s="137"/>
      <c r="H2" s="137"/>
      <c r="I2" s="137"/>
      <c r="J2" s="146">
        <f t="shared" ref="J2:J46" si="0">PI()*(((D2)/2)/100)^2+PI()*(((E2)/2)/100)^2+PI()*(((F2)/2)/100)^2+PI()*(((G2)/2)/100)^2+PI()*(((H2)/2)/100)^2+PI()*(((I2)/2)/100)^2</f>
        <v>1.3273228961416878E-2</v>
      </c>
      <c r="K2" s="137"/>
      <c r="L2" s="137" t="s">
        <v>76</v>
      </c>
      <c r="M2" s="160"/>
    </row>
    <row r="3" spans="1:13" x14ac:dyDescent="0.35">
      <c r="A3" s="161">
        <v>2</v>
      </c>
      <c r="B3" s="156">
        <v>125</v>
      </c>
      <c r="C3" s="156">
        <v>8</v>
      </c>
      <c r="D3" s="156"/>
      <c r="E3" s="156">
        <v>18</v>
      </c>
      <c r="F3" s="156">
        <v>19</v>
      </c>
      <c r="G3" s="156"/>
      <c r="H3" s="156"/>
      <c r="I3" s="156"/>
      <c r="J3" s="310">
        <f t="shared" si="0"/>
        <v>5.3799774192725205E-2</v>
      </c>
      <c r="K3" s="156">
        <v>2</v>
      </c>
      <c r="L3" s="156" t="s">
        <v>78</v>
      </c>
      <c r="M3" s="162"/>
    </row>
    <row r="4" spans="1:13" x14ac:dyDescent="0.35">
      <c r="A4" s="159">
        <v>3</v>
      </c>
      <c r="B4" s="137">
        <v>125</v>
      </c>
      <c r="C4" s="137">
        <v>3</v>
      </c>
      <c r="D4" s="137">
        <v>12</v>
      </c>
      <c r="E4" s="137"/>
      <c r="F4" s="137"/>
      <c r="G4" s="137"/>
      <c r="H4" s="137"/>
      <c r="I4" s="137"/>
      <c r="J4" s="146">
        <f t="shared" si="0"/>
        <v>1.1309733552923255E-2</v>
      </c>
      <c r="K4" s="137"/>
      <c r="L4" s="137" t="s">
        <v>82</v>
      </c>
      <c r="M4" s="160" t="s">
        <v>112</v>
      </c>
    </row>
    <row r="5" spans="1:13" x14ac:dyDescent="0.35">
      <c r="A5" s="163">
        <v>4</v>
      </c>
      <c r="B5" s="133">
        <v>125</v>
      </c>
      <c r="C5" s="133">
        <v>8.5</v>
      </c>
      <c r="D5" s="133">
        <v>22</v>
      </c>
      <c r="E5" s="133"/>
      <c r="F5" s="133"/>
      <c r="G5" s="133"/>
      <c r="H5" s="133"/>
      <c r="I5" s="133"/>
      <c r="J5" s="311">
        <f t="shared" si="0"/>
        <v>3.8013271108436497E-2</v>
      </c>
      <c r="K5" s="133">
        <v>1</v>
      </c>
      <c r="L5" s="133" t="s">
        <v>78</v>
      </c>
      <c r="M5" s="164"/>
    </row>
    <row r="6" spans="1:13" x14ac:dyDescent="0.35">
      <c r="A6" s="159">
        <v>5</v>
      </c>
      <c r="B6" s="137">
        <v>125</v>
      </c>
      <c r="C6" s="137">
        <v>9</v>
      </c>
      <c r="D6" s="137">
        <v>30</v>
      </c>
      <c r="E6" s="137"/>
      <c r="F6" s="137"/>
      <c r="G6" s="137"/>
      <c r="H6" s="137"/>
      <c r="I6" s="137"/>
      <c r="J6" s="146">
        <f t="shared" si="0"/>
        <v>7.0685834705770348E-2</v>
      </c>
      <c r="K6" s="137"/>
      <c r="L6" s="137" t="s">
        <v>78</v>
      </c>
      <c r="M6" s="160"/>
    </row>
    <row r="7" spans="1:13" x14ac:dyDescent="0.35">
      <c r="A7" s="159">
        <v>6</v>
      </c>
      <c r="B7" s="137">
        <v>125</v>
      </c>
      <c r="C7" s="137">
        <v>8.5</v>
      </c>
      <c r="D7" s="137"/>
      <c r="E7" s="137">
        <v>11</v>
      </c>
      <c r="F7" s="137">
        <v>22</v>
      </c>
      <c r="G7" s="137"/>
      <c r="H7" s="137"/>
      <c r="I7" s="137"/>
      <c r="J7" s="146">
        <f t="shared" si="0"/>
        <v>4.7516588885545621E-2</v>
      </c>
      <c r="K7" s="137"/>
      <c r="L7" s="137" t="s">
        <v>12</v>
      </c>
      <c r="M7" s="160"/>
    </row>
    <row r="8" spans="1:13" x14ac:dyDescent="0.35">
      <c r="A8" s="161">
        <v>7</v>
      </c>
      <c r="B8" s="156">
        <v>125</v>
      </c>
      <c r="C8" s="156">
        <v>8</v>
      </c>
      <c r="D8" s="156"/>
      <c r="E8" s="156">
        <v>10</v>
      </c>
      <c r="F8" s="156">
        <v>16</v>
      </c>
      <c r="G8" s="156"/>
      <c r="H8" s="156"/>
      <c r="I8" s="156"/>
      <c r="J8" s="310">
        <f t="shared" si="0"/>
        <v>2.7960174616949159E-2</v>
      </c>
      <c r="K8" s="156">
        <v>2</v>
      </c>
      <c r="L8" s="156" t="s">
        <v>76</v>
      </c>
      <c r="M8" s="162"/>
    </row>
    <row r="9" spans="1:13" x14ac:dyDescent="0.35">
      <c r="A9" s="159">
        <v>8</v>
      </c>
      <c r="B9" s="137">
        <v>125</v>
      </c>
      <c r="C9" s="137">
        <v>8.5</v>
      </c>
      <c r="D9" s="137">
        <v>29</v>
      </c>
      <c r="E9" s="137"/>
      <c r="F9" s="137"/>
      <c r="G9" s="137"/>
      <c r="H9" s="137"/>
      <c r="I9" s="137"/>
      <c r="J9" s="146">
        <f t="shared" si="0"/>
        <v>6.6051985541725394E-2</v>
      </c>
      <c r="K9" s="137"/>
      <c r="L9" s="137" t="s">
        <v>78</v>
      </c>
      <c r="M9" s="160"/>
    </row>
    <row r="10" spans="1:13" x14ac:dyDescent="0.35">
      <c r="A10" s="163">
        <v>9</v>
      </c>
      <c r="B10" s="133">
        <v>125</v>
      </c>
      <c r="C10" s="133">
        <v>8</v>
      </c>
      <c r="D10" s="133">
        <v>21</v>
      </c>
      <c r="E10" s="133"/>
      <c r="F10" s="133"/>
      <c r="G10" s="133"/>
      <c r="H10" s="133"/>
      <c r="I10" s="133"/>
      <c r="J10" s="311">
        <f t="shared" si="0"/>
        <v>3.4636059005827467E-2</v>
      </c>
      <c r="K10" s="133">
        <v>1</v>
      </c>
      <c r="L10" s="133" t="s">
        <v>78</v>
      </c>
      <c r="M10" s="164"/>
    </row>
    <row r="11" spans="1:13" x14ac:dyDescent="0.35">
      <c r="A11" s="159">
        <v>10</v>
      </c>
      <c r="B11" s="137">
        <v>125</v>
      </c>
      <c r="C11" s="137">
        <v>8</v>
      </c>
      <c r="D11" s="137"/>
      <c r="E11" s="137">
        <v>16</v>
      </c>
      <c r="F11" s="137">
        <v>12</v>
      </c>
      <c r="G11" s="137"/>
      <c r="H11" s="137"/>
      <c r="I11" s="137"/>
      <c r="J11" s="146">
        <f t="shared" si="0"/>
        <v>3.1415926535897934E-2</v>
      </c>
      <c r="K11" s="137"/>
      <c r="L11" s="137" t="s">
        <v>76</v>
      </c>
      <c r="M11" s="160"/>
    </row>
    <row r="12" spans="1:13" x14ac:dyDescent="0.35">
      <c r="A12" s="159">
        <v>11</v>
      </c>
      <c r="B12" s="137">
        <v>125</v>
      </c>
      <c r="C12" s="137">
        <v>5</v>
      </c>
      <c r="D12" s="137">
        <v>6</v>
      </c>
      <c r="E12" s="137"/>
      <c r="F12" s="137"/>
      <c r="G12" s="137"/>
      <c r="H12" s="137"/>
      <c r="I12" s="137"/>
      <c r="J12" s="146">
        <f t="shared" si="0"/>
        <v>2.8274333882308137E-3</v>
      </c>
      <c r="K12" s="137"/>
      <c r="L12" s="137" t="s">
        <v>74</v>
      </c>
      <c r="M12" s="160"/>
    </row>
    <row r="13" spans="1:13" x14ac:dyDescent="0.35">
      <c r="A13" s="159">
        <v>12</v>
      </c>
      <c r="B13" s="137">
        <v>112</v>
      </c>
      <c r="C13" s="137">
        <v>3.5</v>
      </c>
      <c r="D13" s="137">
        <v>7</v>
      </c>
      <c r="E13" s="137"/>
      <c r="F13" s="137"/>
      <c r="G13" s="137"/>
      <c r="H13" s="137"/>
      <c r="I13" s="137"/>
      <c r="J13" s="146">
        <f t="shared" si="0"/>
        <v>3.8484510006474969E-3</v>
      </c>
      <c r="K13" s="137"/>
      <c r="L13" s="137" t="s">
        <v>74</v>
      </c>
      <c r="M13" s="160"/>
    </row>
    <row r="14" spans="1:13" x14ac:dyDescent="0.35">
      <c r="A14" s="159">
        <v>13</v>
      </c>
      <c r="B14" s="137">
        <v>125</v>
      </c>
      <c r="C14" s="137">
        <v>9</v>
      </c>
      <c r="D14" s="137"/>
      <c r="E14" s="137">
        <v>17</v>
      </c>
      <c r="F14" s="137">
        <v>21</v>
      </c>
      <c r="G14" s="137"/>
      <c r="H14" s="137"/>
      <c r="I14" s="137"/>
      <c r="J14" s="146">
        <f t="shared" si="0"/>
        <v>5.7334065928013725E-2</v>
      </c>
      <c r="K14" s="137"/>
      <c r="L14" s="137" t="s">
        <v>76</v>
      </c>
      <c r="M14" s="160"/>
    </row>
    <row r="15" spans="1:13" x14ac:dyDescent="0.35">
      <c r="A15" s="159">
        <v>14</v>
      </c>
      <c r="B15" s="137">
        <v>125</v>
      </c>
      <c r="C15" s="137">
        <v>8</v>
      </c>
      <c r="D15" s="137">
        <v>13</v>
      </c>
      <c r="E15" s="137"/>
      <c r="F15" s="137"/>
      <c r="G15" s="137"/>
      <c r="H15" s="137"/>
      <c r="I15" s="137"/>
      <c r="J15" s="146">
        <f t="shared" si="0"/>
        <v>1.3273228961416878E-2</v>
      </c>
      <c r="K15" s="137"/>
      <c r="L15" s="137" t="s">
        <v>76</v>
      </c>
      <c r="M15" s="160"/>
    </row>
    <row r="16" spans="1:13" x14ac:dyDescent="0.35">
      <c r="A16" s="159">
        <v>15</v>
      </c>
      <c r="B16" s="137">
        <v>125</v>
      </c>
      <c r="C16" s="137">
        <v>8</v>
      </c>
      <c r="D16" s="137"/>
      <c r="E16" s="137">
        <v>10</v>
      </c>
      <c r="F16" s="137">
        <v>16</v>
      </c>
      <c r="G16" s="137"/>
      <c r="H16" s="137"/>
      <c r="I16" s="137"/>
      <c r="J16" s="146">
        <f t="shared" si="0"/>
        <v>2.7960174616949159E-2</v>
      </c>
      <c r="K16" s="137"/>
      <c r="L16" s="137" t="s">
        <v>78</v>
      </c>
      <c r="M16" s="160"/>
    </row>
    <row r="17" spans="1:13" x14ac:dyDescent="0.35">
      <c r="A17" s="159">
        <v>16</v>
      </c>
      <c r="B17" s="137">
        <v>125</v>
      </c>
      <c r="C17" s="137">
        <v>7.5</v>
      </c>
      <c r="D17" s="137">
        <v>14</v>
      </c>
      <c r="E17" s="137"/>
      <c r="F17" s="137"/>
      <c r="G17" s="137"/>
      <c r="H17" s="137"/>
      <c r="I17" s="137"/>
      <c r="J17" s="146">
        <f t="shared" si="0"/>
        <v>1.5393804002589988E-2</v>
      </c>
      <c r="K17" s="137"/>
      <c r="L17" s="137" t="s">
        <v>73</v>
      </c>
      <c r="M17" s="160"/>
    </row>
    <row r="18" spans="1:13" x14ac:dyDescent="0.35">
      <c r="A18" s="159">
        <v>17</v>
      </c>
      <c r="B18" s="137">
        <v>125</v>
      </c>
      <c r="C18" s="137">
        <v>8.5</v>
      </c>
      <c r="D18" s="137">
        <v>24</v>
      </c>
      <c r="E18" s="137"/>
      <c r="F18" s="137"/>
      <c r="G18" s="137"/>
      <c r="H18" s="137"/>
      <c r="I18" s="137"/>
      <c r="J18" s="146">
        <f t="shared" si="0"/>
        <v>4.5238934211693019E-2</v>
      </c>
      <c r="K18" s="137"/>
      <c r="L18" s="137" t="s">
        <v>78</v>
      </c>
      <c r="M18" s="160"/>
    </row>
    <row r="19" spans="1:13" x14ac:dyDescent="0.35">
      <c r="A19" s="159">
        <v>18</v>
      </c>
      <c r="B19" s="137">
        <v>125</v>
      </c>
      <c r="C19" s="137">
        <v>7</v>
      </c>
      <c r="D19" s="137">
        <v>7</v>
      </c>
      <c r="E19" s="137"/>
      <c r="F19" s="137"/>
      <c r="G19" s="137"/>
      <c r="H19" s="137"/>
      <c r="I19" s="137"/>
      <c r="J19" s="146">
        <f t="shared" si="0"/>
        <v>3.8484510006474969E-3</v>
      </c>
      <c r="K19" s="137"/>
      <c r="L19" s="137" t="s">
        <v>74</v>
      </c>
      <c r="M19" s="160"/>
    </row>
    <row r="20" spans="1:13" x14ac:dyDescent="0.35">
      <c r="A20" s="161">
        <v>19</v>
      </c>
      <c r="B20" s="156">
        <v>125</v>
      </c>
      <c r="C20" s="156">
        <v>9</v>
      </c>
      <c r="D20" s="156"/>
      <c r="E20" s="156">
        <v>22</v>
      </c>
      <c r="F20" s="156">
        <v>17</v>
      </c>
      <c r="G20" s="156"/>
      <c r="H20" s="156"/>
      <c r="I20" s="156"/>
      <c r="J20" s="310">
        <f t="shared" si="0"/>
        <v>6.0711278030622762E-2</v>
      </c>
      <c r="K20" s="156">
        <v>2</v>
      </c>
      <c r="L20" s="156" t="s">
        <v>78</v>
      </c>
      <c r="M20" s="162"/>
    </row>
    <row r="21" spans="1:13" x14ac:dyDescent="0.35">
      <c r="A21" s="163">
        <v>20</v>
      </c>
      <c r="B21" s="133">
        <v>125</v>
      </c>
      <c r="C21" s="133">
        <v>9</v>
      </c>
      <c r="D21" s="133">
        <v>21</v>
      </c>
      <c r="E21" s="133"/>
      <c r="F21" s="133"/>
      <c r="G21" s="133"/>
      <c r="H21" s="133"/>
      <c r="I21" s="133"/>
      <c r="J21" s="311">
        <f t="shared" si="0"/>
        <v>3.4636059005827467E-2</v>
      </c>
      <c r="K21" s="133">
        <v>1</v>
      </c>
      <c r="L21" s="133" t="s">
        <v>78</v>
      </c>
      <c r="M21" s="164"/>
    </row>
    <row r="22" spans="1:13" x14ac:dyDescent="0.35">
      <c r="A22" s="163">
        <v>21</v>
      </c>
      <c r="B22" s="133">
        <v>125</v>
      </c>
      <c r="C22" s="133">
        <v>7.5</v>
      </c>
      <c r="D22" s="133">
        <v>15</v>
      </c>
      <c r="E22" s="133"/>
      <c r="F22" s="133"/>
      <c r="G22" s="133"/>
      <c r="H22" s="133"/>
      <c r="I22" s="133"/>
      <c r="J22" s="311">
        <f t="shared" si="0"/>
        <v>1.7671458676442587E-2</v>
      </c>
      <c r="K22" s="133">
        <v>1</v>
      </c>
      <c r="L22" s="133" t="s">
        <v>74</v>
      </c>
      <c r="M22" s="164"/>
    </row>
    <row r="23" spans="1:13" x14ac:dyDescent="0.35">
      <c r="A23" s="159">
        <v>22</v>
      </c>
      <c r="B23" s="137">
        <v>125</v>
      </c>
      <c r="C23" s="137">
        <v>8.5</v>
      </c>
      <c r="D23" s="137">
        <v>26</v>
      </c>
      <c r="E23" s="137"/>
      <c r="F23" s="137"/>
      <c r="G23" s="137"/>
      <c r="H23" s="137"/>
      <c r="I23" s="137"/>
      <c r="J23" s="146">
        <f t="shared" si="0"/>
        <v>5.3092915845667513E-2</v>
      </c>
      <c r="K23" s="137"/>
      <c r="L23" s="137" t="s">
        <v>78</v>
      </c>
      <c r="M23" s="160"/>
    </row>
    <row r="24" spans="1:13" x14ac:dyDescent="0.35">
      <c r="A24" s="163">
        <v>23</v>
      </c>
      <c r="B24" s="133">
        <v>125</v>
      </c>
      <c r="C24" s="133">
        <v>8.5</v>
      </c>
      <c r="D24" s="133">
        <v>21</v>
      </c>
      <c r="E24" s="133"/>
      <c r="F24" s="133"/>
      <c r="G24" s="133"/>
      <c r="H24" s="133"/>
      <c r="I24" s="133"/>
      <c r="J24" s="311">
        <f t="shared" si="0"/>
        <v>3.4636059005827467E-2</v>
      </c>
      <c r="K24" s="133">
        <v>1</v>
      </c>
      <c r="L24" s="133" t="s">
        <v>76</v>
      </c>
      <c r="M24" s="164"/>
    </row>
    <row r="25" spans="1:13" x14ac:dyDescent="0.35">
      <c r="A25" s="159">
        <v>24</v>
      </c>
      <c r="B25" s="137">
        <v>130</v>
      </c>
      <c r="C25" s="137">
        <v>8.5</v>
      </c>
      <c r="D25" s="137">
        <v>16</v>
      </c>
      <c r="E25" s="137"/>
      <c r="F25" s="137"/>
      <c r="G25" s="137"/>
      <c r="H25" s="137"/>
      <c r="I25" s="137"/>
      <c r="J25" s="146">
        <f t="shared" si="0"/>
        <v>2.0106192982974676E-2</v>
      </c>
      <c r="K25" s="137"/>
      <c r="L25" s="137" t="s">
        <v>76</v>
      </c>
      <c r="M25" s="160"/>
    </row>
    <row r="26" spans="1:13" x14ac:dyDescent="0.35">
      <c r="A26" s="163">
        <v>25</v>
      </c>
      <c r="B26" s="133">
        <v>125</v>
      </c>
      <c r="C26" s="133">
        <v>6</v>
      </c>
      <c r="D26" s="133">
        <v>19</v>
      </c>
      <c r="E26" s="133"/>
      <c r="F26" s="133"/>
      <c r="G26" s="133"/>
      <c r="H26" s="133"/>
      <c r="I26" s="133"/>
      <c r="J26" s="311">
        <f t="shared" si="0"/>
        <v>2.8352873698647883E-2</v>
      </c>
      <c r="K26" s="133">
        <v>1</v>
      </c>
      <c r="L26" s="133" t="s">
        <v>73</v>
      </c>
      <c r="M26" s="164"/>
    </row>
    <row r="27" spans="1:13" x14ac:dyDescent="0.35">
      <c r="A27" s="159">
        <v>26</v>
      </c>
      <c r="B27" s="137">
        <v>125</v>
      </c>
      <c r="C27" s="137">
        <v>8</v>
      </c>
      <c r="D27" s="137">
        <v>20</v>
      </c>
      <c r="E27" s="137"/>
      <c r="F27" s="137"/>
      <c r="G27" s="137"/>
      <c r="H27" s="137"/>
      <c r="I27" s="137"/>
      <c r="J27" s="146">
        <f t="shared" si="0"/>
        <v>3.1415926535897934E-2</v>
      </c>
      <c r="K27" s="137"/>
      <c r="L27" s="137" t="s">
        <v>73</v>
      </c>
      <c r="M27" s="160"/>
    </row>
    <row r="28" spans="1:13" x14ac:dyDescent="0.35">
      <c r="A28" s="163">
        <v>27</v>
      </c>
      <c r="B28" s="133">
        <v>125</v>
      </c>
      <c r="C28" s="133">
        <v>7</v>
      </c>
      <c r="D28" s="133">
        <v>8</v>
      </c>
      <c r="E28" s="133"/>
      <c r="F28" s="133"/>
      <c r="G28" s="133"/>
      <c r="H28" s="133"/>
      <c r="I28" s="133"/>
      <c r="J28" s="311">
        <f t="shared" si="0"/>
        <v>5.0265482457436689E-3</v>
      </c>
      <c r="K28" s="133">
        <v>1</v>
      </c>
      <c r="L28" s="133" t="s">
        <v>74</v>
      </c>
      <c r="M28" s="164"/>
    </row>
    <row r="29" spans="1:13" x14ac:dyDescent="0.35">
      <c r="A29" s="161">
        <v>28</v>
      </c>
      <c r="B29" s="156">
        <v>125</v>
      </c>
      <c r="C29" s="156">
        <v>8.5</v>
      </c>
      <c r="D29" s="156"/>
      <c r="E29" s="156">
        <v>10</v>
      </c>
      <c r="F29" s="156">
        <v>20</v>
      </c>
      <c r="G29" s="156"/>
      <c r="H29" s="156"/>
      <c r="I29" s="156"/>
      <c r="J29" s="310">
        <f t="shared" si="0"/>
        <v>3.9269908169872414E-2</v>
      </c>
      <c r="K29" s="156">
        <v>2</v>
      </c>
      <c r="L29" s="156" t="s">
        <v>78</v>
      </c>
      <c r="M29" s="162"/>
    </row>
    <row r="30" spans="1:13" x14ac:dyDescent="0.35">
      <c r="A30" s="159">
        <v>29</v>
      </c>
      <c r="B30" s="137">
        <v>125</v>
      </c>
      <c r="C30" s="137">
        <v>8.5</v>
      </c>
      <c r="D30" s="137">
        <v>13</v>
      </c>
      <c r="E30" s="137"/>
      <c r="F30" s="137"/>
      <c r="G30" s="137"/>
      <c r="H30" s="137"/>
      <c r="I30" s="137"/>
      <c r="J30" s="146">
        <f t="shared" si="0"/>
        <v>1.3273228961416878E-2</v>
      </c>
      <c r="K30" s="137"/>
      <c r="L30" s="137" t="s">
        <v>73</v>
      </c>
      <c r="M30" s="160"/>
    </row>
    <row r="31" spans="1:13" x14ac:dyDescent="0.35">
      <c r="A31" s="163">
        <v>30</v>
      </c>
      <c r="B31" s="133">
        <v>125</v>
      </c>
      <c r="C31" s="133">
        <v>8.5</v>
      </c>
      <c r="D31" s="133">
        <v>25</v>
      </c>
      <c r="E31" s="133"/>
      <c r="F31" s="133"/>
      <c r="G31" s="133"/>
      <c r="H31" s="133"/>
      <c r="I31" s="133"/>
      <c r="J31" s="311">
        <f t="shared" si="0"/>
        <v>4.9087385212340517E-2</v>
      </c>
      <c r="K31" s="133">
        <v>1</v>
      </c>
      <c r="L31" s="133" t="s">
        <v>78</v>
      </c>
      <c r="M31" s="164"/>
    </row>
    <row r="32" spans="1:13" x14ac:dyDescent="0.35">
      <c r="A32" s="159">
        <v>31</v>
      </c>
      <c r="B32" s="137">
        <v>125</v>
      </c>
      <c r="C32" s="137">
        <v>7.5</v>
      </c>
      <c r="D32" s="137"/>
      <c r="E32" s="137">
        <v>19</v>
      </c>
      <c r="F32" s="137">
        <v>7</v>
      </c>
      <c r="G32" s="137"/>
      <c r="H32" s="137"/>
      <c r="I32" s="137"/>
      <c r="J32" s="146">
        <f t="shared" si="0"/>
        <v>3.2201324699295382E-2</v>
      </c>
      <c r="K32" s="137"/>
      <c r="L32" s="137" t="s">
        <v>73</v>
      </c>
      <c r="M32" s="160"/>
    </row>
    <row r="33" spans="1:13" x14ac:dyDescent="0.35">
      <c r="A33" s="159">
        <v>32</v>
      </c>
      <c r="B33" s="137">
        <v>125</v>
      </c>
      <c r="C33" s="137">
        <v>7</v>
      </c>
      <c r="D33" s="137">
        <v>13</v>
      </c>
      <c r="E33" s="137"/>
      <c r="F33" s="137"/>
      <c r="G33" s="137"/>
      <c r="H33" s="137"/>
      <c r="I33" s="137"/>
      <c r="J33" s="146">
        <f t="shared" si="0"/>
        <v>1.3273228961416878E-2</v>
      </c>
      <c r="K33" s="137"/>
      <c r="L33" s="137" t="s">
        <v>74</v>
      </c>
      <c r="M33" s="160"/>
    </row>
    <row r="34" spans="1:13" x14ac:dyDescent="0.35">
      <c r="A34" s="159">
        <v>33</v>
      </c>
      <c r="B34" s="137">
        <v>130</v>
      </c>
      <c r="C34" s="137">
        <v>9</v>
      </c>
      <c r="D34" s="137">
        <v>16</v>
      </c>
      <c r="E34" s="137"/>
      <c r="F34" s="137"/>
      <c r="G34" s="137"/>
      <c r="H34" s="137"/>
      <c r="I34" s="137"/>
      <c r="J34" s="146">
        <f t="shared" si="0"/>
        <v>2.0106192982974676E-2</v>
      </c>
      <c r="K34" s="137"/>
      <c r="L34" s="137" t="s">
        <v>78</v>
      </c>
      <c r="M34" s="160"/>
    </row>
    <row r="35" spans="1:13" x14ac:dyDescent="0.35">
      <c r="A35" s="163">
        <v>34</v>
      </c>
      <c r="B35" s="133">
        <v>125</v>
      </c>
      <c r="C35" s="133">
        <v>7.5</v>
      </c>
      <c r="D35" s="133">
        <v>11</v>
      </c>
      <c r="E35" s="133"/>
      <c r="F35" s="133"/>
      <c r="G35" s="133"/>
      <c r="H35" s="133"/>
      <c r="I35" s="133"/>
      <c r="J35" s="311">
        <f t="shared" si="0"/>
        <v>9.5033177771091243E-3</v>
      </c>
      <c r="K35" s="133">
        <v>1</v>
      </c>
      <c r="L35" s="133" t="s">
        <v>73</v>
      </c>
      <c r="M35" s="164"/>
    </row>
    <row r="36" spans="1:13" x14ac:dyDescent="0.35">
      <c r="A36" s="159">
        <v>35</v>
      </c>
      <c r="B36" s="137">
        <v>125</v>
      </c>
      <c r="C36" s="137">
        <v>8.5</v>
      </c>
      <c r="D36" s="137">
        <v>25</v>
      </c>
      <c r="E36" s="137"/>
      <c r="F36" s="137"/>
      <c r="G36" s="137"/>
      <c r="H36" s="137"/>
      <c r="I36" s="137"/>
      <c r="J36" s="146">
        <f t="shared" si="0"/>
        <v>4.9087385212340517E-2</v>
      </c>
      <c r="K36" s="137"/>
      <c r="L36" s="137" t="s">
        <v>78</v>
      </c>
      <c r="M36" s="160"/>
    </row>
    <row r="37" spans="1:13" x14ac:dyDescent="0.35">
      <c r="A37" s="159">
        <v>36</v>
      </c>
      <c r="B37" s="137">
        <v>125</v>
      </c>
      <c r="C37" s="137">
        <v>8.5</v>
      </c>
      <c r="D37" s="137">
        <v>15</v>
      </c>
      <c r="E37" s="137"/>
      <c r="F37" s="137"/>
      <c r="G37" s="137"/>
      <c r="H37" s="137"/>
      <c r="I37" s="137"/>
      <c r="J37" s="146">
        <f t="shared" si="0"/>
        <v>1.7671458676442587E-2</v>
      </c>
      <c r="K37" s="137"/>
      <c r="L37" s="137" t="s">
        <v>78</v>
      </c>
      <c r="M37" s="160"/>
    </row>
    <row r="38" spans="1:13" x14ac:dyDescent="0.35">
      <c r="A38" s="159">
        <v>37</v>
      </c>
      <c r="B38" s="137">
        <v>130</v>
      </c>
      <c r="C38" s="137">
        <v>7.5</v>
      </c>
      <c r="D38" s="137">
        <v>19</v>
      </c>
      <c r="E38" s="137"/>
      <c r="F38" s="137"/>
      <c r="G38" s="137"/>
      <c r="H38" s="137"/>
      <c r="I38" s="137"/>
      <c r="J38" s="146">
        <f t="shared" si="0"/>
        <v>2.8352873698647883E-2</v>
      </c>
      <c r="K38" s="137"/>
      <c r="L38" s="137" t="s">
        <v>73</v>
      </c>
      <c r="M38" s="160"/>
    </row>
    <row r="39" spans="1:13" x14ac:dyDescent="0.35">
      <c r="A39" s="161">
        <v>38</v>
      </c>
      <c r="B39" s="156">
        <v>125</v>
      </c>
      <c r="C39" s="156">
        <v>5</v>
      </c>
      <c r="D39" s="156"/>
      <c r="E39" s="156">
        <v>12</v>
      </c>
      <c r="F39" s="156">
        <v>6</v>
      </c>
      <c r="G39" s="156"/>
      <c r="H39" s="156"/>
      <c r="I39" s="156"/>
      <c r="J39" s="310">
        <f t="shared" si="0"/>
        <v>1.4137166941154067E-2</v>
      </c>
      <c r="K39" s="156">
        <v>2</v>
      </c>
      <c r="L39" s="156" t="s">
        <v>76</v>
      </c>
      <c r="M39" s="162" t="s">
        <v>113</v>
      </c>
    </row>
    <row r="40" spans="1:13" x14ac:dyDescent="0.35">
      <c r="A40" s="159">
        <v>39</v>
      </c>
      <c r="B40" s="137">
        <v>125</v>
      </c>
      <c r="C40" s="137">
        <v>7</v>
      </c>
      <c r="D40" s="137">
        <v>20</v>
      </c>
      <c r="E40" s="137"/>
      <c r="F40" s="137"/>
      <c r="G40" s="137"/>
      <c r="H40" s="137"/>
      <c r="I40" s="137"/>
      <c r="J40" s="146">
        <f t="shared" si="0"/>
        <v>3.1415926535897934E-2</v>
      </c>
      <c r="K40" s="137"/>
      <c r="L40" s="137" t="s">
        <v>78</v>
      </c>
      <c r="M40" s="160"/>
    </row>
    <row r="41" spans="1:13" x14ac:dyDescent="0.35">
      <c r="A41" s="159">
        <v>40</v>
      </c>
      <c r="B41" s="137">
        <v>125</v>
      </c>
      <c r="C41" s="137">
        <v>5</v>
      </c>
      <c r="D41" s="137">
        <v>7</v>
      </c>
      <c r="E41" s="137"/>
      <c r="F41" s="137"/>
      <c r="G41" s="137"/>
      <c r="H41" s="137"/>
      <c r="I41" s="137"/>
      <c r="J41" s="146">
        <f t="shared" si="0"/>
        <v>3.8484510006474969E-3</v>
      </c>
      <c r="K41" s="137"/>
      <c r="L41" s="137" t="s">
        <v>74</v>
      </c>
      <c r="M41" s="160"/>
    </row>
    <row r="42" spans="1:13" x14ac:dyDescent="0.35">
      <c r="A42" s="159">
        <v>41</v>
      </c>
      <c r="B42" s="137">
        <v>125</v>
      </c>
      <c r="C42" s="137">
        <v>9</v>
      </c>
      <c r="D42" s="137"/>
      <c r="E42" s="137">
        <v>9</v>
      </c>
      <c r="F42" s="137">
        <v>12</v>
      </c>
      <c r="G42" s="137">
        <v>21</v>
      </c>
      <c r="H42" s="137"/>
      <c r="I42" s="137"/>
      <c r="J42" s="146">
        <f t="shared" si="0"/>
        <v>5.2307517682270051E-2</v>
      </c>
      <c r="K42" s="137"/>
      <c r="L42" s="137" t="s">
        <v>78</v>
      </c>
      <c r="M42" s="160"/>
    </row>
    <row r="43" spans="1:13" x14ac:dyDescent="0.35">
      <c r="A43" s="159">
        <v>42</v>
      </c>
      <c r="B43" s="137">
        <v>125</v>
      </c>
      <c r="C43" s="137">
        <v>7.5</v>
      </c>
      <c r="D43" s="137"/>
      <c r="E43" s="137">
        <v>9</v>
      </c>
      <c r="F43" s="137">
        <v>6</v>
      </c>
      <c r="G43" s="137"/>
      <c r="H43" s="137"/>
      <c r="I43" s="137"/>
      <c r="J43" s="146">
        <f t="shared" si="0"/>
        <v>9.1891585117501451E-3</v>
      </c>
      <c r="K43" s="137"/>
      <c r="L43" s="137" t="s">
        <v>73</v>
      </c>
      <c r="M43" s="160"/>
    </row>
    <row r="44" spans="1:13" x14ac:dyDescent="0.35">
      <c r="A44" s="163">
        <v>43</v>
      </c>
      <c r="B44" s="133">
        <v>125</v>
      </c>
      <c r="C44" s="133">
        <v>8.5</v>
      </c>
      <c r="D44" s="133">
        <v>19</v>
      </c>
      <c r="E44" s="133"/>
      <c r="F44" s="133"/>
      <c r="G44" s="133"/>
      <c r="H44" s="133"/>
      <c r="I44" s="133"/>
      <c r="J44" s="311">
        <f t="shared" si="0"/>
        <v>2.8352873698647883E-2</v>
      </c>
      <c r="K44" s="133">
        <v>1</v>
      </c>
      <c r="L44" s="133" t="s">
        <v>78</v>
      </c>
      <c r="M44" s="164"/>
    </row>
    <row r="45" spans="1:13" x14ac:dyDescent="0.35">
      <c r="A45" s="159">
        <v>44</v>
      </c>
      <c r="B45" s="137">
        <v>125</v>
      </c>
      <c r="C45" s="137">
        <v>8.5</v>
      </c>
      <c r="D45" s="137"/>
      <c r="E45" s="137">
        <v>14</v>
      </c>
      <c r="F45" s="137">
        <v>17</v>
      </c>
      <c r="G45" s="137"/>
      <c r="H45" s="137"/>
      <c r="I45" s="137"/>
      <c r="J45" s="146">
        <f t="shared" si="0"/>
        <v>3.8091810924776245E-2</v>
      </c>
      <c r="K45" s="137"/>
      <c r="L45" s="137" t="s">
        <v>73</v>
      </c>
      <c r="M45" s="160"/>
    </row>
    <row r="46" spans="1:13" ht="15" thickBot="1" x14ac:dyDescent="0.4">
      <c r="A46" s="165">
        <v>45</v>
      </c>
      <c r="B46" s="166">
        <v>125</v>
      </c>
      <c r="C46" s="166">
        <v>9</v>
      </c>
      <c r="D46" s="166">
        <v>21</v>
      </c>
      <c r="E46" s="166"/>
      <c r="F46" s="166"/>
      <c r="G46" s="166"/>
      <c r="H46" s="166"/>
      <c r="I46" s="166"/>
      <c r="J46" s="303">
        <f t="shared" si="0"/>
        <v>3.4636059005827467E-2</v>
      </c>
      <c r="K46" s="166"/>
      <c r="L46" s="166" t="s">
        <v>78</v>
      </c>
      <c r="M46" s="167"/>
    </row>
    <row r="47" spans="1:13" ht="15" thickBot="1" x14ac:dyDescent="0.4">
      <c r="A47" s="234">
        <f>SUBTOTAL(103,Tabla7[número de árboles])</f>
        <v>45</v>
      </c>
      <c r="B47" s="168" t="s">
        <v>199</v>
      </c>
      <c r="C47" s="169">
        <f>SUBTOTAL(101,Tabla7[altura])</f>
        <v>7.6888888888888891</v>
      </c>
      <c r="D47" s="169">
        <f>SUBTOTAL(101,Tabla7[diámetro])</f>
        <v>17.125</v>
      </c>
      <c r="E47" s="169">
        <f>SUBTOTAL(101,Tabla7[Hermanado1])</f>
        <v>13.615384615384615</v>
      </c>
      <c r="F47" s="169">
        <f>SUBTOTAL(101,Tabla7[Hermanado2])</f>
        <v>14.692307692307692</v>
      </c>
      <c r="G47" s="168">
        <f>SUBTOTAL(101,Tabla7[Hermanado3])</f>
        <v>21</v>
      </c>
      <c r="H47" s="169" t="e">
        <f>SUBTOTAL(101,Tabla7[Hermanado4])</f>
        <v>#DIV/0!</v>
      </c>
      <c r="I47" s="199"/>
      <c r="J47" s="199"/>
      <c r="K47" s="170">
        <f>SUBTOTAL(109,Tabla7[apeado])</f>
        <v>20</v>
      </c>
      <c r="L47" s="170"/>
      <c r="M47" s="171"/>
    </row>
    <row r="48" spans="1:13" x14ac:dyDescent="0.35">
      <c r="A48" s="74"/>
      <c r="B48" s="208"/>
      <c r="C48" s="145"/>
      <c r="D48" s="145"/>
      <c r="E48" s="145"/>
      <c r="F48" s="145"/>
      <c r="G48" s="208"/>
      <c r="H48" s="145"/>
      <c r="I48" s="145"/>
      <c r="J48" s="145"/>
      <c r="K48" s="145"/>
      <c r="L48" s="286"/>
    </row>
    <row r="49" spans="1:12" x14ac:dyDescent="0.35">
      <c r="A49" s="74"/>
      <c r="B49" s="208"/>
      <c r="C49" s="145"/>
      <c r="D49" s="145"/>
      <c r="E49" s="145"/>
      <c r="F49" s="145"/>
      <c r="G49" s="208"/>
      <c r="H49" s="145"/>
      <c r="I49" s="145"/>
      <c r="J49" s="145"/>
      <c r="K49" s="145"/>
      <c r="L49" s="286"/>
    </row>
    <row r="50" spans="1:12" x14ac:dyDescent="0.35">
      <c r="A50" s="74"/>
      <c r="B50" s="208"/>
      <c r="C50" s="145"/>
      <c r="D50" s="145"/>
      <c r="E50" s="145"/>
      <c r="F50" s="145"/>
      <c r="G50" s="208"/>
      <c r="H50" s="145"/>
      <c r="I50" s="145"/>
      <c r="J50" s="145"/>
      <c r="K50" s="145"/>
      <c r="L50" s="286"/>
    </row>
    <row r="51" spans="1:12" x14ac:dyDescent="0.35">
      <c r="A51" s="74"/>
      <c r="B51" s="208"/>
      <c r="C51" s="145"/>
      <c r="D51" s="145"/>
      <c r="E51" s="145"/>
      <c r="F51" s="145"/>
      <c r="G51" s="208"/>
      <c r="H51" s="145"/>
      <c r="I51" s="145"/>
      <c r="J51" s="145"/>
      <c r="K51" s="145"/>
      <c r="L51" s="286"/>
    </row>
    <row r="52" spans="1:12" x14ac:dyDescent="0.35">
      <c r="A52" s="74"/>
      <c r="B52" s="208"/>
      <c r="C52" s="145"/>
      <c r="D52" s="145"/>
      <c r="E52" s="145"/>
      <c r="F52" s="145"/>
      <c r="G52" s="208"/>
      <c r="H52" s="145"/>
      <c r="I52" s="145"/>
      <c r="J52" s="145"/>
      <c r="K52" s="145"/>
      <c r="L52" s="286"/>
    </row>
    <row r="53" spans="1:12" x14ac:dyDescent="0.35">
      <c r="A53" s="74"/>
      <c r="B53" s="208"/>
      <c r="C53" s="145"/>
      <c r="D53" s="145"/>
      <c r="E53" s="145"/>
      <c r="F53" s="145"/>
      <c r="G53" s="208"/>
      <c r="H53" s="145"/>
      <c r="I53" s="145"/>
      <c r="J53" s="145"/>
      <c r="K53" s="145"/>
      <c r="L53" s="286"/>
    </row>
    <row r="54" spans="1:12" x14ac:dyDescent="0.35">
      <c r="A54" s="74"/>
      <c r="B54" s="208"/>
      <c r="C54" s="145"/>
      <c r="D54" s="145"/>
      <c r="E54" s="145"/>
      <c r="F54" s="145"/>
      <c r="G54" s="208"/>
      <c r="H54" s="145"/>
      <c r="I54" s="145"/>
      <c r="J54" s="145"/>
      <c r="K54" s="145"/>
      <c r="L54" s="286"/>
    </row>
    <row r="55" spans="1:12" x14ac:dyDescent="0.35">
      <c r="A55" s="74"/>
      <c r="B55" s="208"/>
      <c r="C55" s="145"/>
      <c r="D55" s="145"/>
      <c r="E55" s="145"/>
      <c r="F55" s="145"/>
      <c r="G55" s="208"/>
      <c r="H55" s="145"/>
      <c r="I55" s="145"/>
      <c r="J55" s="145"/>
      <c r="K55" s="145"/>
      <c r="L55" s="286"/>
    </row>
    <row r="56" spans="1:12" x14ac:dyDescent="0.35">
      <c r="A56" s="74"/>
      <c r="B56" s="208"/>
      <c r="C56" s="145"/>
      <c r="D56" s="145"/>
      <c r="E56" s="145"/>
      <c r="F56" s="145"/>
      <c r="G56" s="208"/>
      <c r="H56" s="145"/>
      <c r="I56" s="145"/>
      <c r="J56" s="145"/>
      <c r="K56" s="145"/>
      <c r="L56" s="286"/>
    </row>
    <row r="57" spans="1:12" x14ac:dyDescent="0.35">
      <c r="A57" s="74"/>
      <c r="B57" s="208"/>
      <c r="C57" s="145"/>
      <c r="D57" s="145"/>
      <c r="E57" s="145"/>
      <c r="F57" s="145"/>
      <c r="G57" s="208"/>
      <c r="H57" s="145"/>
      <c r="I57" s="145"/>
      <c r="J57" s="145"/>
      <c r="K57" s="145"/>
      <c r="L57" s="286"/>
    </row>
    <row r="58" spans="1:12" x14ac:dyDescent="0.35">
      <c r="A58" s="74"/>
      <c r="B58" s="208"/>
      <c r="C58" s="145"/>
      <c r="D58" s="145"/>
      <c r="E58" s="145"/>
      <c r="F58" s="145"/>
      <c r="G58" s="208"/>
      <c r="H58" s="145"/>
      <c r="I58" s="145"/>
      <c r="J58" s="145"/>
      <c r="K58" s="145"/>
      <c r="L58" s="286"/>
    </row>
    <row r="59" spans="1:12" x14ac:dyDescent="0.35">
      <c r="A59" s="74"/>
      <c r="B59" s="208"/>
      <c r="C59" s="145"/>
      <c r="D59" s="145"/>
      <c r="E59" s="145"/>
      <c r="F59" s="145"/>
      <c r="G59" s="208"/>
      <c r="H59" s="145"/>
      <c r="I59" s="145"/>
      <c r="J59" s="145"/>
      <c r="K59" s="145"/>
      <c r="L59" s="286"/>
    </row>
    <row r="60" spans="1:12" x14ac:dyDescent="0.35">
      <c r="A60" s="74"/>
      <c r="B60" s="208"/>
      <c r="C60" s="145"/>
      <c r="D60" s="145"/>
      <c r="E60" s="145"/>
      <c r="F60" s="145"/>
      <c r="G60" s="208"/>
      <c r="H60" s="145"/>
      <c r="I60" s="145"/>
      <c r="J60" s="145"/>
      <c r="K60" s="145"/>
      <c r="L60" s="286"/>
    </row>
    <row r="61" spans="1:12" x14ac:dyDescent="0.35">
      <c r="A61" s="74"/>
      <c r="B61" s="208"/>
      <c r="C61" s="145"/>
      <c r="D61" s="145"/>
      <c r="E61" s="145"/>
      <c r="F61" s="145"/>
      <c r="G61" s="208"/>
      <c r="H61" s="145"/>
      <c r="I61" s="145"/>
      <c r="J61" s="145"/>
      <c r="K61" s="145"/>
      <c r="L61" s="286"/>
    </row>
    <row r="62" spans="1:12" x14ac:dyDescent="0.35">
      <c r="A62" s="74"/>
      <c r="B62" s="208"/>
      <c r="C62" s="145"/>
      <c r="D62" s="145"/>
      <c r="E62" s="145"/>
      <c r="F62" s="145"/>
      <c r="G62" s="208"/>
      <c r="H62" s="145"/>
      <c r="I62" s="145"/>
      <c r="J62" s="145"/>
      <c r="K62" s="145"/>
      <c r="L62" s="286"/>
    </row>
    <row r="63" spans="1:12" x14ac:dyDescent="0.35">
      <c r="A63" s="19"/>
    </row>
    <row r="64" spans="1:12" x14ac:dyDescent="0.35">
      <c r="A64" s="19"/>
    </row>
    <row r="65" spans="1:11" x14ac:dyDescent="0.35">
      <c r="A65" s="19"/>
    </row>
    <row r="66" spans="1:11" x14ac:dyDescent="0.35">
      <c r="A66" s="19"/>
    </row>
    <row r="67" spans="1:11" x14ac:dyDescent="0.35">
      <c r="A67" s="19"/>
    </row>
    <row r="68" spans="1:11" x14ac:dyDescent="0.35">
      <c r="A68" s="19"/>
    </row>
    <row r="69" spans="1:11" x14ac:dyDescent="0.35">
      <c r="A69" s="19"/>
    </row>
    <row r="70" spans="1:11" ht="58" x14ac:dyDescent="0.35">
      <c r="A70" s="247" t="s">
        <v>232</v>
      </c>
      <c r="B70" s="247" t="s">
        <v>216</v>
      </c>
      <c r="C70" s="285" t="s">
        <v>237</v>
      </c>
      <c r="D70" s="247" t="s">
        <v>218</v>
      </c>
      <c r="E70" s="247" t="s">
        <v>219</v>
      </c>
      <c r="F70" s="247" t="s">
        <v>230</v>
      </c>
      <c r="G70" s="247" t="s">
        <v>224</v>
      </c>
      <c r="H70" s="247" t="s">
        <v>226</v>
      </c>
      <c r="I70" s="247" t="s">
        <v>227</v>
      </c>
      <c r="J70" s="74"/>
      <c r="K70" s="74"/>
    </row>
    <row r="71" spans="1:11" x14ac:dyDescent="0.35">
      <c r="A71" s="284">
        <v>125</v>
      </c>
      <c r="B71" s="247"/>
      <c r="C71" s="247"/>
      <c r="D71" s="247"/>
      <c r="E71" s="247"/>
      <c r="F71" s="247"/>
      <c r="G71" s="247"/>
      <c r="H71" s="247"/>
      <c r="I71" s="247"/>
      <c r="J71" s="74"/>
      <c r="K71" s="74"/>
    </row>
    <row r="72" spans="1:11" x14ac:dyDescent="0.35">
      <c r="A72" s="3">
        <v>130</v>
      </c>
      <c r="B72" s="249" t="e">
        <f>Tabla8[[#Totals],[AB m2]]*C87/C86</f>
        <v>#DIV/0!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247"/>
      <c r="K72" s="247"/>
    </row>
    <row r="73" spans="1:11" x14ac:dyDescent="0.35">
      <c r="A73" s="3">
        <v>112</v>
      </c>
      <c r="B73" s="2" t="s">
        <v>217</v>
      </c>
      <c r="C73" s="2"/>
      <c r="D73" s="2"/>
      <c r="E73" s="2"/>
      <c r="F73" s="2"/>
      <c r="G73" s="2"/>
      <c r="H73" s="2"/>
      <c r="I73" s="2"/>
      <c r="J73" s="284"/>
      <c r="K73" s="247"/>
    </row>
    <row r="74" spans="1:11" x14ac:dyDescent="0.35">
      <c r="A74" s="3">
        <v>46</v>
      </c>
      <c r="B74" s="2"/>
      <c r="C74" s="2"/>
      <c r="D74" s="2"/>
      <c r="E74" s="2"/>
      <c r="F74" s="2"/>
      <c r="G74" s="2"/>
      <c r="H74" s="2"/>
      <c r="I74" s="2"/>
      <c r="J74" s="3"/>
      <c r="K74" s="249"/>
    </row>
    <row r="75" spans="1:11" x14ac:dyDescent="0.35">
      <c r="A75" s="3">
        <v>43</v>
      </c>
      <c r="B75" s="2"/>
      <c r="C75" s="2"/>
      <c r="D75" s="2"/>
      <c r="E75" s="2"/>
      <c r="F75" s="2"/>
      <c r="G75" s="2"/>
      <c r="H75" s="2"/>
      <c r="I75" s="2"/>
      <c r="J75" s="3"/>
      <c r="K75" s="2"/>
    </row>
    <row r="76" spans="1:11" x14ac:dyDescent="0.35">
      <c r="A76" s="3">
        <v>23</v>
      </c>
      <c r="B76" s="4"/>
      <c r="C76" s="4"/>
      <c r="D76" s="4"/>
      <c r="E76" s="4"/>
      <c r="F76" s="4"/>
      <c r="G76" s="4"/>
      <c r="H76" s="4"/>
      <c r="I76" s="4"/>
      <c r="J76" s="3"/>
      <c r="K76" s="2"/>
    </row>
    <row r="77" spans="1:11" x14ac:dyDescent="0.35">
      <c r="A77" s="3"/>
      <c r="B77" s="4"/>
      <c r="C77" s="4"/>
      <c r="D77" s="4"/>
      <c r="E77" s="4"/>
      <c r="F77" s="4"/>
      <c r="G77" s="4"/>
      <c r="H77" s="4"/>
      <c r="I77" s="4"/>
      <c r="J77" s="3"/>
      <c r="K77" s="2"/>
    </row>
    <row r="78" spans="1:11" ht="15" thickBot="1" x14ac:dyDescent="0.4">
      <c r="A78" s="19" t="s">
        <v>63</v>
      </c>
      <c r="B78" s="2"/>
      <c r="C78" s="2"/>
      <c r="D78" s="2"/>
      <c r="E78" s="2"/>
      <c r="F78" s="2"/>
      <c r="G78" s="2"/>
      <c r="H78" s="2"/>
      <c r="I78" s="2"/>
      <c r="J78" s="3"/>
      <c r="K78" s="2"/>
    </row>
    <row r="79" spans="1:11" ht="15" thickBot="1" x14ac:dyDescent="0.4">
      <c r="A79" s="365" t="s">
        <v>136</v>
      </c>
      <c r="B79" s="366"/>
      <c r="C79" s="366"/>
      <c r="D79" s="366"/>
      <c r="E79" s="366"/>
      <c r="F79" s="366"/>
      <c r="G79" s="366"/>
      <c r="H79" s="366"/>
      <c r="I79" s="366"/>
      <c r="J79" s="366"/>
      <c r="K79" s="367"/>
    </row>
    <row r="80" spans="1:11" ht="15" thickBot="1" x14ac:dyDescent="0.4"/>
    <row r="81" spans="1:11" ht="15" thickBot="1" x14ac:dyDescent="0.4">
      <c r="A81" t="s">
        <v>128</v>
      </c>
      <c r="B81">
        <f>COUNT(Tabla7[[diámetro]:[Hermanado5]])</f>
        <v>59</v>
      </c>
      <c r="C81">
        <f>25*25</f>
        <v>625</v>
      </c>
      <c r="E81" s="370" t="s">
        <v>29</v>
      </c>
      <c r="F81" s="371"/>
      <c r="G81" s="372"/>
      <c r="H81" s="366" t="s">
        <v>65</v>
      </c>
      <c r="I81" s="367"/>
      <c r="J81" s="365" t="s">
        <v>4</v>
      </c>
      <c r="K81" s="367"/>
    </row>
    <row r="82" spans="1:11" ht="15" thickBot="1" x14ac:dyDescent="0.4">
      <c r="B82">
        <f>B81*C82/C81</f>
        <v>944</v>
      </c>
      <c r="C82">
        <v>10000</v>
      </c>
      <c r="E82" s="52" t="s">
        <v>30</v>
      </c>
      <c r="F82" s="53" t="s">
        <v>31</v>
      </c>
      <c r="G82" s="54"/>
      <c r="H82" s="43">
        <v>125</v>
      </c>
      <c r="I82" s="21" t="s">
        <v>23</v>
      </c>
      <c r="J82" s="13" t="s">
        <v>6</v>
      </c>
      <c r="K82" s="14" t="s">
        <v>58</v>
      </c>
    </row>
    <row r="83" spans="1:11" ht="21.5" thickBot="1" x14ac:dyDescent="0.55000000000000004">
      <c r="A83" s="27" t="s">
        <v>111</v>
      </c>
      <c r="B83" s="49" t="s">
        <v>28</v>
      </c>
      <c r="C83" s="10" t="s">
        <v>52</v>
      </c>
      <c r="D83" s="51" t="s">
        <v>147</v>
      </c>
      <c r="E83" s="48" t="s">
        <v>32</v>
      </c>
      <c r="F83" s="46" t="s">
        <v>33</v>
      </c>
      <c r="G83" s="2"/>
      <c r="H83" s="44">
        <v>130</v>
      </c>
      <c r="I83" s="23" t="s">
        <v>25</v>
      </c>
      <c r="J83" s="15" t="s">
        <v>5</v>
      </c>
      <c r="K83" s="16" t="s">
        <v>59</v>
      </c>
    </row>
    <row r="84" spans="1:11" ht="15" thickBot="1" x14ac:dyDescent="0.4">
      <c r="A84" s="10"/>
      <c r="B84" s="12">
        <v>2</v>
      </c>
      <c r="C84" s="12">
        <v>1</v>
      </c>
      <c r="D84" s="10">
        <f>B82</f>
        <v>944</v>
      </c>
      <c r="E84" s="48" t="s">
        <v>34</v>
      </c>
      <c r="F84" s="46" t="s">
        <v>35</v>
      </c>
      <c r="G84" s="2"/>
      <c r="H84" s="44">
        <v>46</v>
      </c>
      <c r="I84" s="23" t="s">
        <v>26</v>
      </c>
      <c r="J84" s="15" t="s">
        <v>13</v>
      </c>
      <c r="K84" s="16" t="s">
        <v>60</v>
      </c>
    </row>
    <row r="85" spans="1:11" x14ac:dyDescent="0.35">
      <c r="E85" s="45" t="s">
        <v>36</v>
      </c>
      <c r="F85" s="368" t="s">
        <v>37</v>
      </c>
      <c r="G85" s="369"/>
      <c r="H85" s="44">
        <v>43</v>
      </c>
      <c r="I85" s="23" t="s">
        <v>27</v>
      </c>
      <c r="J85" s="15" t="s">
        <v>10</v>
      </c>
      <c r="K85" s="16" t="s">
        <v>61</v>
      </c>
    </row>
    <row r="86" spans="1:11" ht="15" thickBot="1" x14ac:dyDescent="0.4">
      <c r="E86" s="45" t="s">
        <v>16</v>
      </c>
      <c r="F86" s="46" t="s">
        <v>38</v>
      </c>
      <c r="G86" s="2"/>
      <c r="H86" s="44">
        <v>23</v>
      </c>
      <c r="I86" s="23" t="s">
        <v>22</v>
      </c>
      <c r="J86" s="17" t="s">
        <v>12</v>
      </c>
      <c r="K86" s="18" t="s">
        <v>62</v>
      </c>
    </row>
    <row r="87" spans="1:11" x14ac:dyDescent="0.35">
      <c r="E87" s="45" t="s">
        <v>39</v>
      </c>
      <c r="F87" s="46" t="s">
        <v>40</v>
      </c>
      <c r="G87" s="2"/>
      <c r="H87" s="44">
        <v>73</v>
      </c>
      <c r="I87" s="23" t="s">
        <v>24</v>
      </c>
    </row>
    <row r="88" spans="1:11" x14ac:dyDescent="0.35">
      <c r="E88" s="45" t="s">
        <v>41</v>
      </c>
      <c r="F88" s="46" t="s">
        <v>42</v>
      </c>
      <c r="G88" s="2"/>
      <c r="H88" s="44">
        <v>87</v>
      </c>
      <c r="I88" s="23" t="s">
        <v>47</v>
      </c>
    </row>
    <row r="89" spans="1:11" x14ac:dyDescent="0.35">
      <c r="E89" s="45" t="s">
        <v>43</v>
      </c>
      <c r="F89" s="46" t="s">
        <v>44</v>
      </c>
      <c r="G89" s="2"/>
      <c r="H89" s="44">
        <v>3</v>
      </c>
      <c r="I89" s="23" t="s">
        <v>48</v>
      </c>
    </row>
    <row r="90" spans="1:11" x14ac:dyDescent="0.35">
      <c r="E90" s="45" t="s">
        <v>45</v>
      </c>
      <c r="F90" s="47" t="s">
        <v>46</v>
      </c>
      <c r="G90" s="2"/>
      <c r="H90" s="44">
        <v>82</v>
      </c>
      <c r="I90" s="23" t="s">
        <v>50</v>
      </c>
    </row>
    <row r="91" spans="1:11" x14ac:dyDescent="0.35">
      <c r="H91" s="22">
        <v>83</v>
      </c>
      <c r="I91" s="23" t="s">
        <v>49</v>
      </c>
    </row>
    <row r="92" spans="1:11" x14ac:dyDescent="0.35">
      <c r="H92" s="22">
        <v>42</v>
      </c>
      <c r="I92" s="23" t="s">
        <v>51</v>
      </c>
    </row>
    <row r="93" spans="1:11" x14ac:dyDescent="0.35">
      <c r="H93" s="22">
        <v>112</v>
      </c>
      <c r="I93" s="23" t="s">
        <v>66</v>
      </c>
    </row>
    <row r="94" spans="1:11" ht="15" thickBot="1" x14ac:dyDescent="0.4">
      <c r="H94" s="25">
        <v>113</v>
      </c>
      <c r="I94" s="26" t="s">
        <v>67</v>
      </c>
    </row>
    <row r="100" spans="1:10" x14ac:dyDescent="0.35">
      <c r="A100" s="271" t="s">
        <v>228</v>
      </c>
      <c r="B100" s="271" t="s">
        <v>206</v>
      </c>
      <c r="C100" s="271" t="s">
        <v>229</v>
      </c>
      <c r="D100" s="271" t="s">
        <v>142</v>
      </c>
      <c r="E100" s="271" t="s">
        <v>147</v>
      </c>
      <c r="F100" s="271" t="s">
        <v>225</v>
      </c>
      <c r="G100" s="271" t="s">
        <v>207</v>
      </c>
      <c r="H100" s="271" t="s">
        <v>231</v>
      </c>
      <c r="I100" s="271" t="s">
        <v>213</v>
      </c>
      <c r="J100" s="272" t="s">
        <v>215</v>
      </c>
    </row>
    <row r="101" spans="1:10" x14ac:dyDescent="0.35">
      <c r="A101" s="245" t="s">
        <v>212</v>
      </c>
      <c r="B101" s="269">
        <f>COUNTIF($D$1:$I$46,"&gt;=2,5")-COUNTIF($D$1:$I$46,"&gt;7,4")</f>
        <v>7</v>
      </c>
      <c r="C101" s="269">
        <v>5</v>
      </c>
      <c r="D101" s="269"/>
      <c r="E101" s="269">
        <f>(B101*10000)/625</f>
        <v>112</v>
      </c>
      <c r="F101" s="270">
        <f>(PI()/4)*(C101/100)^2</f>
        <v>1.9634954084936209E-3</v>
      </c>
      <c r="G101" s="270">
        <f>E101*F101</f>
        <v>0.21991148575128555</v>
      </c>
      <c r="H101" s="269"/>
      <c r="I101" s="269"/>
      <c r="J101" s="269"/>
    </row>
    <row r="102" spans="1:10" x14ac:dyDescent="0.35">
      <c r="A102" s="246" t="s">
        <v>211</v>
      </c>
      <c r="B102" s="257">
        <f>COUNTIF($D$1:$I$46,"&gt;=7,5")-COUNTIF($D$1:$I$46,"&gt;12,4")</f>
        <v>12</v>
      </c>
      <c r="C102" s="257">
        <v>10</v>
      </c>
      <c r="D102" s="257"/>
      <c r="E102" s="257">
        <f t="shared" ref="E102:E108" si="1">(B102*10000)/625</f>
        <v>192</v>
      </c>
      <c r="F102" s="258">
        <f t="shared" ref="F102:F108" si="2">(PI()/4)*(C102/100)^2</f>
        <v>7.8539816339744835E-3</v>
      </c>
      <c r="G102" s="258">
        <f t="shared" ref="G102:G108" si="3">E102*F102</f>
        <v>1.5079644737231008</v>
      </c>
      <c r="H102" s="257"/>
      <c r="I102" s="257"/>
      <c r="J102" s="257"/>
    </row>
    <row r="103" spans="1:10" x14ac:dyDescent="0.35">
      <c r="A103" s="245" t="s">
        <v>209</v>
      </c>
      <c r="B103" s="269">
        <f>COUNTIF($D$1:$I$46,"&gt;=12,5")-COUNTIF($D$1:$I$46,"&gt;17,4")</f>
        <v>16</v>
      </c>
      <c r="C103" s="269">
        <v>15</v>
      </c>
      <c r="D103" s="269"/>
      <c r="E103" s="269">
        <f t="shared" si="1"/>
        <v>256</v>
      </c>
      <c r="F103" s="270">
        <f t="shared" si="2"/>
        <v>1.7671458676442587E-2</v>
      </c>
      <c r="G103" s="270">
        <f t="shared" si="3"/>
        <v>4.5238934211693023</v>
      </c>
      <c r="H103" s="269"/>
      <c r="I103" s="269"/>
      <c r="J103" s="269"/>
    </row>
    <row r="104" spans="1:10" x14ac:dyDescent="0.35">
      <c r="A104" s="246" t="s">
        <v>208</v>
      </c>
      <c r="B104" s="257">
        <f>COUNTIF($D$1:$I$46,"&gt;=17,5")-COUNTIF($D$1:$I$46,"&gt;22,4")</f>
        <v>18</v>
      </c>
      <c r="C104" s="257">
        <v>20</v>
      </c>
      <c r="D104" s="257"/>
      <c r="E104" s="257">
        <f t="shared" si="1"/>
        <v>288</v>
      </c>
      <c r="F104" s="258">
        <f t="shared" si="2"/>
        <v>3.1415926535897934E-2</v>
      </c>
      <c r="G104" s="258">
        <f t="shared" si="3"/>
        <v>9.0477868423386045</v>
      </c>
      <c r="H104" s="257"/>
      <c r="I104" s="257"/>
      <c r="J104" s="257"/>
    </row>
    <row r="105" spans="1:10" x14ac:dyDescent="0.35">
      <c r="A105" s="245" t="s">
        <v>210</v>
      </c>
      <c r="B105" s="269">
        <f>COUNTIF($D$1:$I$46,"&gt;=22,5")-COUNTIF($D$1:$I$46,"&gt;27,4")</f>
        <v>4</v>
      </c>
      <c r="C105" s="269">
        <v>25</v>
      </c>
      <c r="D105" s="269"/>
      <c r="E105" s="269">
        <f t="shared" si="1"/>
        <v>64</v>
      </c>
      <c r="F105" s="270">
        <f t="shared" si="2"/>
        <v>4.9087385212340517E-2</v>
      </c>
      <c r="G105" s="270">
        <f t="shared" si="3"/>
        <v>3.1415926535897931</v>
      </c>
      <c r="H105" s="269"/>
      <c r="I105" s="269"/>
      <c r="J105" s="269"/>
    </row>
    <row r="106" spans="1:10" x14ac:dyDescent="0.35">
      <c r="A106" s="246" t="s">
        <v>221</v>
      </c>
      <c r="B106" s="257">
        <f>COUNTIF($D$1:$I$46,"&gt;=27,5")-COUNTIF($D$1:$I$46,"&gt;32,4")</f>
        <v>2</v>
      </c>
      <c r="C106" s="257">
        <v>30</v>
      </c>
      <c r="D106" s="257"/>
      <c r="E106" s="257">
        <f t="shared" si="1"/>
        <v>32</v>
      </c>
      <c r="F106" s="258">
        <f t="shared" si="2"/>
        <v>7.0685834705770348E-2</v>
      </c>
      <c r="G106" s="258">
        <f t="shared" si="3"/>
        <v>2.2619467105846511</v>
      </c>
      <c r="H106" s="257"/>
      <c r="I106" s="257"/>
      <c r="J106" s="257"/>
    </row>
    <row r="107" spans="1:10" x14ac:dyDescent="0.35">
      <c r="A107" s="245" t="s">
        <v>222</v>
      </c>
      <c r="B107" s="269">
        <f>COUNTIF($D$1:$I$46,"&gt;=32,5")-COUNTIF($D$1:$I$46,"&gt;37,4")</f>
        <v>0</v>
      </c>
      <c r="C107" s="269">
        <v>35</v>
      </c>
      <c r="D107" s="269"/>
      <c r="E107" s="269">
        <f t="shared" si="1"/>
        <v>0</v>
      </c>
      <c r="F107" s="270">
        <f t="shared" si="2"/>
        <v>9.6211275016187398E-2</v>
      </c>
      <c r="G107" s="270">
        <f t="shared" si="3"/>
        <v>0</v>
      </c>
      <c r="H107" s="269"/>
      <c r="I107" s="269"/>
      <c r="J107" s="269"/>
    </row>
    <row r="108" spans="1:10" x14ac:dyDescent="0.35">
      <c r="A108" s="287" t="s">
        <v>223</v>
      </c>
      <c r="B108" s="288">
        <f>COUNTIF($D$1:$I$46,"&gt;=37,5")-COUNTIF($D$1:$I$46,"&gt;42,4")</f>
        <v>0</v>
      </c>
      <c r="C108" s="288">
        <v>40</v>
      </c>
      <c r="D108" s="288"/>
      <c r="E108" s="288">
        <f t="shared" si="1"/>
        <v>0</v>
      </c>
      <c r="F108" s="289">
        <f t="shared" si="2"/>
        <v>0.12566370614359174</v>
      </c>
      <c r="G108" s="289">
        <f t="shared" si="3"/>
        <v>0</v>
      </c>
      <c r="H108" s="288"/>
      <c r="I108" s="288"/>
      <c r="J108" s="288"/>
    </row>
    <row r="109" spans="1:10" x14ac:dyDescent="0.35">
      <c r="A109" s="267" t="s">
        <v>146</v>
      </c>
      <c r="B109" s="268">
        <f>SUBTOTAL(109,Tabla30[NÚMERO DE PIES])</f>
        <v>59</v>
      </c>
      <c r="C109" s="268">
        <f>SUBTOTAL(103,Tabla30[CLASE DIAMETRICA])</f>
        <v>8</v>
      </c>
      <c r="D109" s="268"/>
      <c r="E109" s="268">
        <f>SUBTOTAL(109,Tabla30[pies/ha])</f>
        <v>944</v>
      </c>
      <c r="F109" s="262"/>
      <c r="G109" s="264">
        <f>SUBTOTAL(109,Tabla30[G (m2/ha.)])</f>
        <v>20.703095587156739</v>
      </c>
      <c r="H109" s="268"/>
      <c r="I109" s="268"/>
      <c r="J109" s="268">
        <f>SUBTOTAL(103,Tabla30[AB (m2) final])</f>
        <v>0</v>
      </c>
    </row>
  </sheetData>
  <mergeCells count="5">
    <mergeCell ref="F85:G85"/>
    <mergeCell ref="A79:K79"/>
    <mergeCell ref="E81:G81"/>
    <mergeCell ref="H81:I81"/>
    <mergeCell ref="J81:K81"/>
  </mergeCells>
  <pageMargins left="0.47244094488188976" right="0.55118110236220474" top="0.51181102362204722" bottom="0.47244094488188976" header="0.31496062992125984" footer="0.31496062992125984"/>
  <pageSetup paperSize="8" scale="68" fitToWidth="0" orientation="portrait" r:id="rId1"/>
  <headerFooter>
    <oddHeader>&amp;CParcela &amp;"-,Negrita"&amp;K08+000A4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94" zoomScale="110" zoomScaleNormal="100" zoomScalePageLayoutView="110" workbookViewId="0">
      <selection activeCell="B101" sqref="B101"/>
    </sheetView>
  </sheetViews>
  <sheetFormatPr baseColWidth="10" defaultColWidth="8.7265625" defaultRowHeight="14.5" x14ac:dyDescent="0.35"/>
  <cols>
    <col min="1" max="1" width="20.1796875" customWidth="1"/>
    <col min="2" max="2" width="16.7265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3.1796875" customWidth="1"/>
    <col min="11" max="11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198" t="s">
        <v>195</v>
      </c>
      <c r="J1" s="198" t="s">
        <v>239</v>
      </c>
      <c r="K1" s="34" t="s">
        <v>144</v>
      </c>
      <c r="L1" t="s">
        <v>4</v>
      </c>
      <c r="M1" t="s">
        <v>21</v>
      </c>
    </row>
    <row r="2" spans="1:13" x14ac:dyDescent="0.35">
      <c r="A2" s="184">
        <v>1</v>
      </c>
      <c r="B2" s="185">
        <v>125</v>
      </c>
      <c r="C2" s="185">
        <v>6</v>
      </c>
      <c r="D2" s="185"/>
      <c r="E2" s="185">
        <v>11</v>
      </c>
      <c r="F2" s="185">
        <v>6</v>
      </c>
      <c r="G2" s="185"/>
      <c r="H2" s="185"/>
      <c r="I2" s="185"/>
      <c r="J2" s="315">
        <f t="shared" ref="J2:J33" si="0">PI()*(((D2)/2)/100)^2+PI()*(((E2)/2)/100)^2+PI()*(((F2)/2)/100)^2+PI()*(((G2)/2)/100)^2+PI()*(((H2)/2)/100)^2+PI()*(((I2)/2)/100)^2</f>
        <v>1.2330751165339937E-2</v>
      </c>
      <c r="K2" s="185">
        <v>2</v>
      </c>
      <c r="L2" s="185" t="s">
        <v>74</v>
      </c>
      <c r="M2" s="186"/>
    </row>
    <row r="3" spans="1:13" x14ac:dyDescent="0.35">
      <c r="A3" s="176">
        <v>2</v>
      </c>
      <c r="B3" s="137">
        <v>125</v>
      </c>
      <c r="C3" s="137">
        <v>6</v>
      </c>
      <c r="D3" s="137">
        <v>12</v>
      </c>
      <c r="E3" s="137"/>
      <c r="F3" s="137"/>
      <c r="G3" s="137"/>
      <c r="H3" s="137"/>
      <c r="I3" s="137"/>
      <c r="J3" s="146">
        <f t="shared" si="0"/>
        <v>1.1309733552923255E-2</v>
      </c>
      <c r="K3" s="137"/>
      <c r="L3" s="137" t="s">
        <v>73</v>
      </c>
      <c r="M3" s="177"/>
    </row>
    <row r="4" spans="1:13" x14ac:dyDescent="0.35">
      <c r="A4" s="176">
        <v>3</v>
      </c>
      <c r="B4" s="137">
        <v>125</v>
      </c>
      <c r="C4" s="137">
        <v>8</v>
      </c>
      <c r="D4" s="137"/>
      <c r="E4" s="137">
        <v>26</v>
      </c>
      <c r="F4" s="137">
        <v>7</v>
      </c>
      <c r="G4" s="137"/>
      <c r="H4" s="137"/>
      <c r="I4" s="137"/>
      <c r="J4" s="146">
        <f t="shared" si="0"/>
        <v>5.6941366846315011E-2</v>
      </c>
      <c r="K4" s="137"/>
      <c r="L4" s="137" t="s">
        <v>76</v>
      </c>
      <c r="M4" s="177"/>
    </row>
    <row r="5" spans="1:13" x14ac:dyDescent="0.35">
      <c r="A5" s="176">
        <v>4</v>
      </c>
      <c r="B5" s="137">
        <v>112</v>
      </c>
      <c r="C5" s="137">
        <v>2</v>
      </c>
      <c r="D5" s="137">
        <v>5</v>
      </c>
      <c r="E5" s="137"/>
      <c r="F5" s="137"/>
      <c r="G5" s="137"/>
      <c r="H5" s="137"/>
      <c r="I5" s="137"/>
      <c r="J5" s="146">
        <f t="shared" si="0"/>
        <v>1.9634954084936209E-3</v>
      </c>
      <c r="K5" s="137"/>
      <c r="L5" s="137" t="s">
        <v>74</v>
      </c>
      <c r="M5" s="177"/>
    </row>
    <row r="6" spans="1:13" x14ac:dyDescent="0.35">
      <c r="A6" s="176">
        <v>5</v>
      </c>
      <c r="B6" s="137">
        <v>125</v>
      </c>
      <c r="C6" s="137">
        <v>7</v>
      </c>
      <c r="D6" s="137">
        <v>13</v>
      </c>
      <c r="E6" s="137"/>
      <c r="F6" s="137"/>
      <c r="G6" s="137"/>
      <c r="H6" s="137"/>
      <c r="I6" s="137"/>
      <c r="J6" s="146">
        <f t="shared" si="0"/>
        <v>1.3273228961416878E-2</v>
      </c>
      <c r="K6" s="137"/>
      <c r="L6" s="137" t="s">
        <v>74</v>
      </c>
      <c r="M6" s="177"/>
    </row>
    <row r="7" spans="1:13" x14ac:dyDescent="0.35">
      <c r="A7" s="176">
        <v>6</v>
      </c>
      <c r="B7" s="137">
        <v>125</v>
      </c>
      <c r="C7" s="137">
        <v>7.5</v>
      </c>
      <c r="D7" s="137">
        <v>20</v>
      </c>
      <c r="E7" s="137"/>
      <c r="F7" s="137"/>
      <c r="G7" s="137"/>
      <c r="H7" s="137"/>
      <c r="I7" s="137"/>
      <c r="J7" s="146">
        <f t="shared" si="0"/>
        <v>3.1415926535897934E-2</v>
      </c>
      <c r="K7" s="137"/>
      <c r="L7" s="137" t="s">
        <v>76</v>
      </c>
      <c r="M7" s="177"/>
    </row>
    <row r="8" spans="1:13" x14ac:dyDescent="0.35">
      <c r="A8" s="176">
        <v>7</v>
      </c>
      <c r="B8" s="137">
        <v>125</v>
      </c>
      <c r="C8" s="137">
        <v>7</v>
      </c>
      <c r="D8" s="137">
        <v>5</v>
      </c>
      <c r="E8" s="137">
        <v>21</v>
      </c>
      <c r="F8" s="137"/>
      <c r="G8" s="137"/>
      <c r="H8" s="137"/>
      <c r="I8" s="137"/>
      <c r="J8" s="146">
        <f t="shared" si="0"/>
        <v>3.6599554414321091E-2</v>
      </c>
      <c r="K8" s="137"/>
      <c r="L8" s="137" t="s">
        <v>78</v>
      </c>
      <c r="M8" s="177"/>
    </row>
    <row r="9" spans="1:13" x14ac:dyDescent="0.35">
      <c r="A9" s="176">
        <v>8</v>
      </c>
      <c r="B9" s="137">
        <v>125</v>
      </c>
      <c r="C9" s="137">
        <v>7.5</v>
      </c>
      <c r="D9" s="137"/>
      <c r="E9" s="137">
        <v>15</v>
      </c>
      <c r="F9" s="137">
        <v>5</v>
      </c>
      <c r="G9" s="137">
        <v>5</v>
      </c>
      <c r="H9" s="137">
        <v>5</v>
      </c>
      <c r="I9" s="137"/>
      <c r="J9" s="146">
        <f t="shared" si="0"/>
        <v>2.3561944901923447E-2</v>
      </c>
      <c r="K9" s="137"/>
      <c r="L9" s="137" t="s">
        <v>74</v>
      </c>
      <c r="M9" s="177"/>
    </row>
    <row r="10" spans="1:13" x14ac:dyDescent="0.35">
      <c r="A10" s="176">
        <v>9</v>
      </c>
      <c r="B10" s="137">
        <v>125</v>
      </c>
      <c r="C10" s="137">
        <v>6.5</v>
      </c>
      <c r="D10" s="137"/>
      <c r="E10" s="137">
        <v>7</v>
      </c>
      <c r="F10" s="137">
        <v>8</v>
      </c>
      <c r="G10" s="137">
        <v>13</v>
      </c>
      <c r="H10" s="137"/>
      <c r="I10" s="137"/>
      <c r="J10" s="146">
        <f t="shared" si="0"/>
        <v>2.2148228207808044E-2</v>
      </c>
      <c r="K10" s="137"/>
      <c r="L10" s="137" t="s">
        <v>73</v>
      </c>
      <c r="M10" s="177"/>
    </row>
    <row r="11" spans="1:13" x14ac:dyDescent="0.35">
      <c r="A11" s="176">
        <v>10</v>
      </c>
      <c r="B11" s="137">
        <v>125</v>
      </c>
      <c r="C11" s="137">
        <v>8</v>
      </c>
      <c r="D11" s="137">
        <v>19</v>
      </c>
      <c r="E11" s="137"/>
      <c r="F11" s="137"/>
      <c r="G11" s="137"/>
      <c r="H11" s="137"/>
      <c r="I11" s="137"/>
      <c r="J11" s="146">
        <f t="shared" si="0"/>
        <v>2.8352873698647883E-2</v>
      </c>
      <c r="K11" s="137"/>
      <c r="L11" s="137" t="s">
        <v>76</v>
      </c>
      <c r="M11" s="177"/>
    </row>
    <row r="12" spans="1:13" x14ac:dyDescent="0.35">
      <c r="A12" s="176">
        <v>11</v>
      </c>
      <c r="B12" s="137">
        <v>125</v>
      </c>
      <c r="C12" s="137">
        <v>7</v>
      </c>
      <c r="D12" s="137">
        <v>10</v>
      </c>
      <c r="E12" s="137"/>
      <c r="F12" s="137"/>
      <c r="G12" s="137"/>
      <c r="H12" s="137"/>
      <c r="I12" s="137"/>
      <c r="J12" s="146">
        <f t="shared" si="0"/>
        <v>7.8539816339744835E-3</v>
      </c>
      <c r="K12" s="137"/>
      <c r="L12" s="137" t="s">
        <v>74</v>
      </c>
      <c r="M12" s="177"/>
    </row>
    <row r="13" spans="1:13" x14ac:dyDescent="0.35">
      <c r="A13" s="176">
        <v>12</v>
      </c>
      <c r="B13" s="137">
        <v>125</v>
      </c>
      <c r="C13" s="137">
        <v>7.5</v>
      </c>
      <c r="D13" s="137">
        <v>22</v>
      </c>
      <c r="E13" s="137"/>
      <c r="F13" s="137"/>
      <c r="G13" s="137"/>
      <c r="H13" s="137"/>
      <c r="I13" s="137"/>
      <c r="J13" s="146">
        <f t="shared" si="0"/>
        <v>3.8013271108436497E-2</v>
      </c>
      <c r="K13" s="137"/>
      <c r="L13" s="137" t="s">
        <v>78</v>
      </c>
      <c r="M13" s="177"/>
    </row>
    <row r="14" spans="1:13" x14ac:dyDescent="0.35">
      <c r="A14" s="176">
        <v>13</v>
      </c>
      <c r="B14" s="137">
        <v>112</v>
      </c>
      <c r="C14" s="137">
        <v>2</v>
      </c>
      <c r="D14" s="137">
        <v>5</v>
      </c>
      <c r="E14" s="137"/>
      <c r="F14" s="137"/>
      <c r="G14" s="137"/>
      <c r="H14" s="137"/>
      <c r="I14" s="137"/>
      <c r="J14" s="146">
        <f t="shared" si="0"/>
        <v>1.9634954084936209E-3</v>
      </c>
      <c r="K14" s="137"/>
      <c r="L14" s="137" t="s">
        <v>74</v>
      </c>
      <c r="M14" s="177"/>
    </row>
    <row r="15" spans="1:13" x14ac:dyDescent="0.35">
      <c r="A15" s="176">
        <v>14</v>
      </c>
      <c r="B15" s="137">
        <v>125</v>
      </c>
      <c r="C15" s="137">
        <v>9</v>
      </c>
      <c r="D15" s="137">
        <v>26</v>
      </c>
      <c r="E15" s="137"/>
      <c r="F15" s="137"/>
      <c r="G15" s="137"/>
      <c r="H15" s="137"/>
      <c r="I15" s="137"/>
      <c r="J15" s="146">
        <f t="shared" si="0"/>
        <v>5.3092915845667513E-2</v>
      </c>
      <c r="K15" s="137"/>
      <c r="L15" s="137" t="s">
        <v>78</v>
      </c>
      <c r="M15" s="177"/>
    </row>
    <row r="16" spans="1:13" x14ac:dyDescent="0.35">
      <c r="A16" s="176">
        <v>15</v>
      </c>
      <c r="B16" s="137">
        <v>125</v>
      </c>
      <c r="C16" s="137">
        <v>7</v>
      </c>
      <c r="D16" s="137">
        <v>12</v>
      </c>
      <c r="E16" s="137"/>
      <c r="F16" s="137"/>
      <c r="G16" s="137"/>
      <c r="H16" s="137"/>
      <c r="I16" s="137"/>
      <c r="J16" s="146">
        <f t="shared" si="0"/>
        <v>1.1309733552923255E-2</v>
      </c>
      <c r="K16" s="137"/>
      <c r="L16" s="137" t="s">
        <v>73</v>
      </c>
      <c r="M16" s="177"/>
    </row>
    <row r="17" spans="1:13" x14ac:dyDescent="0.35">
      <c r="A17" s="176">
        <v>16</v>
      </c>
      <c r="B17" s="137">
        <v>46</v>
      </c>
      <c r="C17" s="137">
        <v>4</v>
      </c>
      <c r="D17" s="137">
        <v>10</v>
      </c>
      <c r="E17" s="137"/>
      <c r="F17" s="137"/>
      <c r="G17" s="137"/>
      <c r="H17" s="137"/>
      <c r="I17" s="137"/>
      <c r="J17" s="146">
        <f t="shared" si="0"/>
        <v>7.8539816339744835E-3</v>
      </c>
      <c r="K17" s="137"/>
      <c r="L17" s="137" t="s">
        <v>73</v>
      </c>
      <c r="M17" s="177"/>
    </row>
    <row r="18" spans="1:13" x14ac:dyDescent="0.35">
      <c r="A18" s="176">
        <v>17</v>
      </c>
      <c r="B18" s="137">
        <v>46</v>
      </c>
      <c r="C18" s="137">
        <v>4</v>
      </c>
      <c r="D18" s="137">
        <v>10</v>
      </c>
      <c r="E18" s="137"/>
      <c r="F18" s="137"/>
      <c r="G18" s="137"/>
      <c r="H18" s="137"/>
      <c r="I18" s="137"/>
      <c r="J18" s="146">
        <f t="shared" si="0"/>
        <v>7.8539816339744835E-3</v>
      </c>
      <c r="K18" s="137"/>
      <c r="L18" s="137" t="s">
        <v>13</v>
      </c>
      <c r="M18" s="177"/>
    </row>
    <row r="19" spans="1:13" x14ac:dyDescent="0.35">
      <c r="A19" s="176">
        <v>18</v>
      </c>
      <c r="B19" s="137">
        <v>46</v>
      </c>
      <c r="C19" s="137">
        <v>4</v>
      </c>
      <c r="D19" s="137">
        <v>6</v>
      </c>
      <c r="E19" s="137"/>
      <c r="F19" s="137"/>
      <c r="G19" s="137"/>
      <c r="H19" s="137"/>
      <c r="I19" s="137"/>
      <c r="J19" s="146">
        <f t="shared" si="0"/>
        <v>2.8274333882308137E-3</v>
      </c>
      <c r="K19" s="137"/>
      <c r="L19" s="137" t="s">
        <v>73</v>
      </c>
      <c r="M19" s="177"/>
    </row>
    <row r="20" spans="1:13" x14ac:dyDescent="0.35">
      <c r="A20" s="176">
        <v>19</v>
      </c>
      <c r="B20" s="137">
        <v>46</v>
      </c>
      <c r="C20" s="137">
        <v>4</v>
      </c>
      <c r="D20" s="137">
        <v>6</v>
      </c>
      <c r="E20" s="137"/>
      <c r="F20" s="137"/>
      <c r="G20" s="137"/>
      <c r="H20" s="137"/>
      <c r="I20" s="137"/>
      <c r="J20" s="146">
        <f t="shared" si="0"/>
        <v>2.8274333882308137E-3</v>
      </c>
      <c r="K20" s="137"/>
      <c r="L20" s="137" t="s">
        <v>76</v>
      </c>
      <c r="M20" s="177"/>
    </row>
    <row r="21" spans="1:13" x14ac:dyDescent="0.35">
      <c r="A21" s="176">
        <v>20</v>
      </c>
      <c r="B21" s="137">
        <v>46</v>
      </c>
      <c r="C21" s="137">
        <v>2.5</v>
      </c>
      <c r="D21" s="137">
        <v>5</v>
      </c>
      <c r="E21" s="137"/>
      <c r="F21" s="137"/>
      <c r="G21" s="137"/>
      <c r="H21" s="137"/>
      <c r="I21" s="137"/>
      <c r="J21" s="146">
        <f t="shared" si="0"/>
        <v>1.9634954084936209E-3</v>
      </c>
      <c r="K21" s="137"/>
      <c r="L21" s="137" t="s">
        <v>76</v>
      </c>
      <c r="M21" s="177"/>
    </row>
    <row r="22" spans="1:13" x14ac:dyDescent="0.35">
      <c r="A22" s="176">
        <v>21</v>
      </c>
      <c r="B22" s="137">
        <v>46</v>
      </c>
      <c r="C22" s="137">
        <v>3</v>
      </c>
      <c r="D22" s="137">
        <v>7</v>
      </c>
      <c r="E22" s="137"/>
      <c r="F22" s="137"/>
      <c r="G22" s="137"/>
      <c r="H22" s="137"/>
      <c r="I22" s="137"/>
      <c r="J22" s="146">
        <f t="shared" si="0"/>
        <v>3.8484510006474969E-3</v>
      </c>
      <c r="K22" s="137"/>
      <c r="L22" s="137" t="s">
        <v>73</v>
      </c>
      <c r="M22" s="177"/>
    </row>
    <row r="23" spans="1:13" x14ac:dyDescent="0.35">
      <c r="A23" s="176">
        <v>22</v>
      </c>
      <c r="B23" s="137">
        <v>125</v>
      </c>
      <c r="C23" s="137">
        <v>8</v>
      </c>
      <c r="D23" s="137">
        <v>21</v>
      </c>
      <c r="E23" s="137"/>
      <c r="F23" s="137"/>
      <c r="G23" s="137"/>
      <c r="H23" s="137"/>
      <c r="I23" s="137"/>
      <c r="J23" s="146">
        <f t="shared" si="0"/>
        <v>3.4636059005827467E-2</v>
      </c>
      <c r="K23" s="137"/>
      <c r="L23" s="137" t="s">
        <v>76</v>
      </c>
      <c r="M23" s="177"/>
    </row>
    <row r="24" spans="1:13" x14ac:dyDescent="0.35">
      <c r="A24" s="176">
        <v>23</v>
      </c>
      <c r="B24" s="137">
        <v>125</v>
      </c>
      <c r="C24" s="137">
        <v>8</v>
      </c>
      <c r="D24" s="137">
        <v>27</v>
      </c>
      <c r="E24" s="137"/>
      <c r="F24" s="137"/>
      <c r="G24" s="137"/>
      <c r="H24" s="137"/>
      <c r="I24" s="137"/>
      <c r="J24" s="146">
        <f t="shared" si="0"/>
        <v>5.7255526111673984E-2</v>
      </c>
      <c r="K24" s="137"/>
      <c r="L24" s="137" t="s">
        <v>78</v>
      </c>
      <c r="M24" s="177"/>
    </row>
    <row r="25" spans="1:13" x14ac:dyDescent="0.35">
      <c r="A25" s="176">
        <v>24</v>
      </c>
      <c r="B25" s="137">
        <v>125</v>
      </c>
      <c r="C25" s="137">
        <v>8</v>
      </c>
      <c r="D25" s="137"/>
      <c r="E25" s="137">
        <v>25</v>
      </c>
      <c r="F25" s="137">
        <v>14</v>
      </c>
      <c r="G25" s="137">
        <v>5</v>
      </c>
      <c r="H25" s="137"/>
      <c r="I25" s="137"/>
      <c r="J25" s="146">
        <f t="shared" si="0"/>
        <v>6.6444684623424136E-2</v>
      </c>
      <c r="K25" s="137"/>
      <c r="L25" s="137" t="s">
        <v>76</v>
      </c>
      <c r="M25" s="177"/>
    </row>
    <row r="26" spans="1:13" x14ac:dyDescent="0.35">
      <c r="A26" s="176">
        <v>25</v>
      </c>
      <c r="B26" s="137">
        <v>125</v>
      </c>
      <c r="C26" s="137">
        <v>8</v>
      </c>
      <c r="D26" s="137">
        <v>15</v>
      </c>
      <c r="E26" s="137"/>
      <c r="F26" s="137"/>
      <c r="G26" s="137"/>
      <c r="H26" s="137"/>
      <c r="I26" s="137"/>
      <c r="J26" s="146">
        <f t="shared" si="0"/>
        <v>1.7671458676442587E-2</v>
      </c>
      <c r="K26" s="137"/>
      <c r="L26" s="137" t="s">
        <v>78</v>
      </c>
      <c r="M26" s="177"/>
    </row>
    <row r="27" spans="1:13" x14ac:dyDescent="0.35">
      <c r="A27" s="181">
        <v>26</v>
      </c>
      <c r="B27" s="133">
        <v>125</v>
      </c>
      <c r="C27" s="133">
        <v>8</v>
      </c>
      <c r="D27" s="133">
        <v>22</v>
      </c>
      <c r="E27" s="133"/>
      <c r="F27" s="133"/>
      <c r="G27" s="133"/>
      <c r="H27" s="133"/>
      <c r="I27" s="133"/>
      <c r="J27" s="311">
        <f t="shared" si="0"/>
        <v>3.8013271108436497E-2</v>
      </c>
      <c r="K27" s="133">
        <v>1</v>
      </c>
      <c r="L27" s="133" t="s">
        <v>78</v>
      </c>
      <c r="M27" s="182"/>
    </row>
    <row r="28" spans="1:13" x14ac:dyDescent="0.35">
      <c r="A28" s="176">
        <v>27</v>
      </c>
      <c r="B28" s="137">
        <v>125</v>
      </c>
      <c r="C28" s="137">
        <v>7.5</v>
      </c>
      <c r="D28" s="137"/>
      <c r="E28" s="137">
        <v>12</v>
      </c>
      <c r="F28" s="137">
        <v>6</v>
      </c>
      <c r="G28" s="137">
        <v>16</v>
      </c>
      <c r="H28" s="137"/>
      <c r="I28" s="137"/>
      <c r="J28" s="146">
        <f t="shared" si="0"/>
        <v>3.4243359924128747E-2</v>
      </c>
      <c r="K28" s="137"/>
      <c r="L28" s="137" t="s">
        <v>73</v>
      </c>
      <c r="M28" s="177"/>
    </row>
    <row r="29" spans="1:13" x14ac:dyDescent="0.35">
      <c r="A29" s="176">
        <v>28</v>
      </c>
      <c r="B29" s="137">
        <v>125</v>
      </c>
      <c r="C29" s="137">
        <v>8.5</v>
      </c>
      <c r="D29" s="137">
        <v>26</v>
      </c>
      <c r="E29" s="137"/>
      <c r="F29" s="137"/>
      <c r="G29" s="137"/>
      <c r="H29" s="137"/>
      <c r="I29" s="137"/>
      <c r="J29" s="146">
        <f t="shared" si="0"/>
        <v>5.3092915845667513E-2</v>
      </c>
      <c r="K29" s="137"/>
      <c r="L29" s="137" t="s">
        <v>78</v>
      </c>
      <c r="M29" s="177"/>
    </row>
    <row r="30" spans="1:13" x14ac:dyDescent="0.35">
      <c r="A30" s="176">
        <v>29</v>
      </c>
      <c r="B30" s="137">
        <v>125</v>
      </c>
      <c r="C30" s="137">
        <v>7</v>
      </c>
      <c r="D30" s="137">
        <v>15</v>
      </c>
      <c r="E30" s="137"/>
      <c r="F30" s="137"/>
      <c r="G30" s="137"/>
      <c r="H30" s="137"/>
      <c r="I30" s="137"/>
      <c r="J30" s="146">
        <f t="shared" si="0"/>
        <v>1.7671458676442587E-2</v>
      </c>
      <c r="K30" s="137"/>
      <c r="L30" s="137" t="s">
        <v>74</v>
      </c>
      <c r="M30" s="177"/>
    </row>
    <row r="31" spans="1:13" x14ac:dyDescent="0.35">
      <c r="A31" s="176">
        <v>30</v>
      </c>
      <c r="B31" s="137">
        <v>125</v>
      </c>
      <c r="C31" s="137">
        <v>8</v>
      </c>
      <c r="D31" s="137">
        <v>20</v>
      </c>
      <c r="E31" s="137"/>
      <c r="F31" s="137"/>
      <c r="G31" s="137"/>
      <c r="H31" s="137"/>
      <c r="I31" s="137"/>
      <c r="J31" s="146">
        <f t="shared" si="0"/>
        <v>3.1415926535897934E-2</v>
      </c>
      <c r="K31" s="137"/>
      <c r="L31" s="137" t="s">
        <v>76</v>
      </c>
      <c r="M31" s="177"/>
    </row>
    <row r="32" spans="1:13" x14ac:dyDescent="0.35">
      <c r="A32" s="181">
        <v>31</v>
      </c>
      <c r="B32" s="133">
        <v>125</v>
      </c>
      <c r="C32" s="133">
        <v>7</v>
      </c>
      <c r="D32" s="133">
        <v>17</v>
      </c>
      <c r="E32" s="133"/>
      <c r="F32" s="133"/>
      <c r="G32" s="133"/>
      <c r="H32" s="133"/>
      <c r="I32" s="133"/>
      <c r="J32" s="311">
        <f t="shared" si="0"/>
        <v>2.2698006922186261E-2</v>
      </c>
      <c r="K32" s="133">
        <v>1</v>
      </c>
      <c r="L32" s="133" t="s">
        <v>73</v>
      </c>
      <c r="M32" s="182"/>
    </row>
    <row r="33" spans="1:13" x14ac:dyDescent="0.35">
      <c r="A33" s="176">
        <v>32</v>
      </c>
      <c r="B33" s="137">
        <v>125</v>
      </c>
      <c r="C33" s="137">
        <v>8</v>
      </c>
      <c r="D33" s="137">
        <v>23</v>
      </c>
      <c r="E33" s="137"/>
      <c r="F33" s="137"/>
      <c r="G33" s="137"/>
      <c r="H33" s="137"/>
      <c r="I33" s="137"/>
      <c r="J33" s="146">
        <f t="shared" si="0"/>
        <v>4.1547562843725017E-2</v>
      </c>
      <c r="K33" s="137"/>
      <c r="L33" s="137" t="s">
        <v>78</v>
      </c>
      <c r="M33" s="177"/>
    </row>
    <row r="34" spans="1:13" x14ac:dyDescent="0.35">
      <c r="A34" s="181">
        <v>33</v>
      </c>
      <c r="B34" s="133">
        <v>46</v>
      </c>
      <c r="C34" s="133">
        <v>2.5</v>
      </c>
      <c r="D34" s="133">
        <v>5</v>
      </c>
      <c r="E34" s="133"/>
      <c r="F34" s="133"/>
      <c r="G34" s="133"/>
      <c r="H34" s="133"/>
      <c r="I34" s="133"/>
      <c r="J34" s="311">
        <f t="shared" ref="J34:J60" si="1">PI()*(((D34)/2)/100)^2+PI()*(((E34)/2)/100)^2+PI()*(((F34)/2)/100)^2+PI()*(((G34)/2)/100)^2+PI()*(((H34)/2)/100)^2+PI()*(((I34)/2)/100)^2</f>
        <v>1.9634954084936209E-3</v>
      </c>
      <c r="K34" s="133">
        <v>1</v>
      </c>
      <c r="L34" s="133" t="s">
        <v>76</v>
      </c>
      <c r="M34" s="182"/>
    </row>
    <row r="35" spans="1:13" x14ac:dyDescent="0.35">
      <c r="A35" s="176">
        <v>34</v>
      </c>
      <c r="B35" s="137">
        <v>125</v>
      </c>
      <c r="C35" s="137">
        <v>6.5</v>
      </c>
      <c r="D35" s="137">
        <v>8</v>
      </c>
      <c r="E35" s="137"/>
      <c r="F35" s="137"/>
      <c r="G35" s="137"/>
      <c r="H35" s="137"/>
      <c r="I35" s="137"/>
      <c r="J35" s="146">
        <f t="shared" si="1"/>
        <v>5.0265482457436689E-3</v>
      </c>
      <c r="K35" s="137"/>
      <c r="L35" s="137" t="s">
        <v>74</v>
      </c>
      <c r="M35" s="177"/>
    </row>
    <row r="36" spans="1:13" x14ac:dyDescent="0.35">
      <c r="A36" s="176">
        <v>35</v>
      </c>
      <c r="B36" s="137">
        <v>125</v>
      </c>
      <c r="C36" s="137">
        <v>8</v>
      </c>
      <c r="D36" s="137">
        <v>19</v>
      </c>
      <c r="E36" s="137"/>
      <c r="F36" s="137"/>
      <c r="G36" s="137"/>
      <c r="H36" s="137"/>
      <c r="I36" s="137"/>
      <c r="J36" s="146">
        <f t="shared" si="1"/>
        <v>2.8352873698647883E-2</v>
      </c>
      <c r="K36" s="137"/>
      <c r="L36" s="137" t="s">
        <v>78</v>
      </c>
      <c r="M36" s="177"/>
    </row>
    <row r="37" spans="1:13" x14ac:dyDescent="0.35">
      <c r="A37" s="176">
        <v>36</v>
      </c>
      <c r="B37" s="137">
        <v>125</v>
      </c>
      <c r="C37" s="137">
        <v>5.5</v>
      </c>
      <c r="D37" s="137">
        <v>7</v>
      </c>
      <c r="E37" s="137">
        <v>7</v>
      </c>
      <c r="F37" s="137"/>
      <c r="G37" s="137"/>
      <c r="H37" s="137"/>
      <c r="I37" s="137"/>
      <c r="J37" s="146">
        <f t="shared" si="1"/>
        <v>7.6969020012949939E-3</v>
      </c>
      <c r="K37" s="137"/>
      <c r="L37" s="137" t="s">
        <v>74</v>
      </c>
      <c r="M37" s="177"/>
    </row>
    <row r="38" spans="1:13" x14ac:dyDescent="0.35">
      <c r="A38" s="176">
        <v>37</v>
      </c>
      <c r="B38" s="137">
        <v>125</v>
      </c>
      <c r="C38" s="137">
        <v>2</v>
      </c>
      <c r="D38" s="137">
        <v>5</v>
      </c>
      <c r="E38" s="137"/>
      <c r="F38" s="137"/>
      <c r="G38" s="137"/>
      <c r="H38" s="137"/>
      <c r="I38" s="137"/>
      <c r="J38" s="146">
        <f t="shared" si="1"/>
        <v>1.9634954084936209E-3</v>
      </c>
      <c r="K38" s="137"/>
      <c r="L38" s="137" t="s">
        <v>75</v>
      </c>
      <c r="M38" s="177"/>
    </row>
    <row r="39" spans="1:13" x14ac:dyDescent="0.35">
      <c r="A39" s="176">
        <v>38</v>
      </c>
      <c r="B39" s="137">
        <v>125</v>
      </c>
      <c r="C39" s="137">
        <v>7</v>
      </c>
      <c r="D39" s="137"/>
      <c r="E39" s="137">
        <v>10</v>
      </c>
      <c r="F39" s="137">
        <v>8</v>
      </c>
      <c r="G39" s="137"/>
      <c r="H39" s="137"/>
      <c r="I39" s="137"/>
      <c r="J39" s="146">
        <f t="shared" si="1"/>
        <v>1.2880529879718152E-2</v>
      </c>
      <c r="K39" s="137"/>
      <c r="L39" s="137" t="s">
        <v>10</v>
      </c>
      <c r="M39" s="177" t="s">
        <v>85</v>
      </c>
    </row>
    <row r="40" spans="1:13" x14ac:dyDescent="0.35">
      <c r="A40" s="176">
        <v>39</v>
      </c>
      <c r="B40" s="137">
        <v>125</v>
      </c>
      <c r="C40" s="137">
        <v>7.5</v>
      </c>
      <c r="D40" s="137">
        <v>16</v>
      </c>
      <c r="E40" s="137"/>
      <c r="F40" s="137"/>
      <c r="G40" s="137"/>
      <c r="H40" s="137"/>
      <c r="I40" s="137"/>
      <c r="J40" s="146">
        <f t="shared" si="1"/>
        <v>2.0106192982974676E-2</v>
      </c>
      <c r="K40" s="137"/>
      <c r="L40" s="137" t="s">
        <v>76</v>
      </c>
      <c r="M40" s="177" t="s">
        <v>114</v>
      </c>
    </row>
    <row r="41" spans="1:13" x14ac:dyDescent="0.35">
      <c r="A41" s="176">
        <v>40</v>
      </c>
      <c r="B41" s="137">
        <v>125</v>
      </c>
      <c r="C41" s="137">
        <v>7.5</v>
      </c>
      <c r="D41" s="137">
        <v>12</v>
      </c>
      <c r="E41" s="137"/>
      <c r="F41" s="137"/>
      <c r="G41" s="137"/>
      <c r="H41" s="137"/>
      <c r="I41" s="137"/>
      <c r="J41" s="146">
        <f t="shared" si="1"/>
        <v>1.1309733552923255E-2</v>
      </c>
      <c r="K41" s="137"/>
      <c r="L41" s="137" t="s">
        <v>73</v>
      </c>
      <c r="M41" s="177" t="s">
        <v>116</v>
      </c>
    </row>
    <row r="42" spans="1:13" x14ac:dyDescent="0.35">
      <c r="A42" s="176">
        <v>41</v>
      </c>
      <c r="B42" s="137">
        <v>130</v>
      </c>
      <c r="C42" s="137">
        <v>7.5</v>
      </c>
      <c r="D42" s="137">
        <v>15</v>
      </c>
      <c r="E42" s="137"/>
      <c r="F42" s="137"/>
      <c r="G42" s="137"/>
      <c r="H42" s="137"/>
      <c r="I42" s="137"/>
      <c r="J42" s="146">
        <f t="shared" si="1"/>
        <v>1.7671458676442587E-2</v>
      </c>
      <c r="K42" s="137"/>
      <c r="L42" s="137" t="s">
        <v>76</v>
      </c>
      <c r="M42" s="177"/>
    </row>
    <row r="43" spans="1:13" x14ac:dyDescent="0.35">
      <c r="A43" s="176">
        <v>42</v>
      </c>
      <c r="B43" s="137">
        <v>125</v>
      </c>
      <c r="C43" s="137">
        <v>8</v>
      </c>
      <c r="D43" s="137">
        <v>15</v>
      </c>
      <c r="E43" s="137"/>
      <c r="F43" s="137"/>
      <c r="G43" s="137"/>
      <c r="H43" s="137"/>
      <c r="I43" s="137"/>
      <c r="J43" s="146">
        <f t="shared" si="1"/>
        <v>1.7671458676442587E-2</v>
      </c>
      <c r="K43" s="137"/>
      <c r="L43" s="137" t="s">
        <v>76</v>
      </c>
      <c r="M43" s="177"/>
    </row>
    <row r="44" spans="1:13" x14ac:dyDescent="0.35">
      <c r="A44" s="176">
        <v>43</v>
      </c>
      <c r="B44" s="137">
        <v>125</v>
      </c>
      <c r="C44" s="137">
        <v>8</v>
      </c>
      <c r="D44" s="137">
        <v>16</v>
      </c>
      <c r="E44" s="137"/>
      <c r="F44" s="137"/>
      <c r="G44" s="137"/>
      <c r="H44" s="137"/>
      <c r="I44" s="137"/>
      <c r="J44" s="146">
        <f t="shared" si="1"/>
        <v>2.0106192982974676E-2</v>
      </c>
      <c r="K44" s="137"/>
      <c r="L44" s="137" t="s">
        <v>76</v>
      </c>
      <c r="M44" s="177"/>
    </row>
    <row r="45" spans="1:13" x14ac:dyDescent="0.35">
      <c r="A45" s="176">
        <v>44</v>
      </c>
      <c r="B45" s="137">
        <v>125</v>
      </c>
      <c r="C45" s="137">
        <v>8</v>
      </c>
      <c r="D45" s="137">
        <v>18</v>
      </c>
      <c r="E45" s="137"/>
      <c r="F45" s="137"/>
      <c r="G45" s="137"/>
      <c r="H45" s="137"/>
      <c r="I45" s="137"/>
      <c r="J45" s="146">
        <f t="shared" si="1"/>
        <v>2.5446900494077322E-2</v>
      </c>
      <c r="K45" s="137"/>
      <c r="L45" s="137" t="s">
        <v>76</v>
      </c>
      <c r="M45" s="177"/>
    </row>
    <row r="46" spans="1:13" x14ac:dyDescent="0.35">
      <c r="A46" s="176">
        <v>45</v>
      </c>
      <c r="B46" s="137">
        <v>125</v>
      </c>
      <c r="C46" s="137">
        <v>5</v>
      </c>
      <c r="D46" s="137">
        <v>5</v>
      </c>
      <c r="E46" s="137"/>
      <c r="F46" s="137"/>
      <c r="G46" s="137"/>
      <c r="H46" s="137"/>
      <c r="I46" s="137"/>
      <c r="J46" s="146">
        <f t="shared" si="1"/>
        <v>1.9634954084936209E-3</v>
      </c>
      <c r="K46" s="137"/>
      <c r="L46" s="137" t="s">
        <v>75</v>
      </c>
      <c r="M46" s="177"/>
    </row>
    <row r="47" spans="1:13" x14ac:dyDescent="0.35">
      <c r="A47" s="176">
        <v>46</v>
      </c>
      <c r="B47" s="137">
        <v>125</v>
      </c>
      <c r="C47" s="137">
        <v>8.5</v>
      </c>
      <c r="D47" s="137"/>
      <c r="E47" s="137">
        <v>22</v>
      </c>
      <c r="F47" s="137">
        <v>23</v>
      </c>
      <c r="G47" s="137"/>
      <c r="H47" s="137"/>
      <c r="I47" s="137"/>
      <c r="J47" s="146">
        <f t="shared" si="1"/>
        <v>7.9560833952161514E-2</v>
      </c>
      <c r="K47" s="137"/>
      <c r="L47" s="137" t="s">
        <v>78</v>
      </c>
      <c r="M47" s="177"/>
    </row>
    <row r="48" spans="1:13" x14ac:dyDescent="0.35">
      <c r="A48" s="176">
        <v>47</v>
      </c>
      <c r="B48" s="137">
        <v>125</v>
      </c>
      <c r="C48" s="137">
        <v>7.5</v>
      </c>
      <c r="D48" s="137">
        <v>19</v>
      </c>
      <c r="E48" s="137"/>
      <c r="F48" s="137"/>
      <c r="G48" s="137"/>
      <c r="H48" s="137"/>
      <c r="I48" s="137"/>
      <c r="J48" s="146">
        <f t="shared" si="1"/>
        <v>2.8352873698647883E-2</v>
      </c>
      <c r="K48" s="137"/>
      <c r="L48" s="137" t="s">
        <v>76</v>
      </c>
      <c r="M48" s="177"/>
    </row>
    <row r="49" spans="1:13" x14ac:dyDescent="0.35">
      <c r="A49" s="176">
        <v>48</v>
      </c>
      <c r="B49" s="137">
        <v>125</v>
      </c>
      <c r="C49" s="137">
        <v>8.5</v>
      </c>
      <c r="D49" s="137">
        <v>20</v>
      </c>
      <c r="E49" s="137"/>
      <c r="F49" s="137"/>
      <c r="G49" s="137"/>
      <c r="H49" s="137"/>
      <c r="I49" s="137"/>
      <c r="J49" s="146">
        <f t="shared" si="1"/>
        <v>3.1415926535897934E-2</v>
      </c>
      <c r="K49" s="137"/>
      <c r="L49" s="137" t="s">
        <v>76</v>
      </c>
      <c r="M49" s="177"/>
    </row>
    <row r="50" spans="1:13" x14ac:dyDescent="0.35">
      <c r="A50" s="181">
        <v>49</v>
      </c>
      <c r="B50" s="133">
        <v>125</v>
      </c>
      <c r="C50" s="133">
        <v>8.5</v>
      </c>
      <c r="D50" s="133"/>
      <c r="E50" s="133">
        <v>11</v>
      </c>
      <c r="F50" s="183">
        <v>15</v>
      </c>
      <c r="G50" s="133"/>
      <c r="H50" s="133"/>
      <c r="I50" s="133"/>
      <c r="J50" s="311">
        <f t="shared" si="1"/>
        <v>2.7174776453551711E-2</v>
      </c>
      <c r="K50" s="133">
        <v>1</v>
      </c>
      <c r="L50" s="133" t="s">
        <v>76</v>
      </c>
      <c r="M50" s="182" t="s">
        <v>193</v>
      </c>
    </row>
    <row r="51" spans="1:13" x14ac:dyDescent="0.35">
      <c r="A51" s="176">
        <v>50</v>
      </c>
      <c r="B51" s="137">
        <v>125</v>
      </c>
      <c r="C51" s="137">
        <v>2.5</v>
      </c>
      <c r="D51" s="137">
        <v>7</v>
      </c>
      <c r="E51" s="137"/>
      <c r="F51" s="137"/>
      <c r="G51" s="137"/>
      <c r="H51" s="137"/>
      <c r="I51" s="137"/>
      <c r="J51" s="146">
        <f t="shared" si="1"/>
        <v>3.8484510006474969E-3</v>
      </c>
      <c r="K51" s="137"/>
      <c r="L51" s="137" t="s">
        <v>75</v>
      </c>
      <c r="M51" s="177" t="s">
        <v>114</v>
      </c>
    </row>
    <row r="52" spans="1:13" x14ac:dyDescent="0.35">
      <c r="A52" s="176">
        <v>51</v>
      </c>
      <c r="B52" s="137">
        <v>125</v>
      </c>
      <c r="C52" s="137">
        <v>7.5</v>
      </c>
      <c r="D52" s="137">
        <v>16</v>
      </c>
      <c r="E52" s="137"/>
      <c r="F52" s="137"/>
      <c r="G52" s="137"/>
      <c r="H52" s="137"/>
      <c r="I52" s="137"/>
      <c r="J52" s="146">
        <f t="shared" si="1"/>
        <v>2.0106192982974676E-2</v>
      </c>
      <c r="K52" s="137"/>
      <c r="L52" s="137" t="s">
        <v>73</v>
      </c>
      <c r="M52" s="177"/>
    </row>
    <row r="53" spans="1:13" x14ac:dyDescent="0.35">
      <c r="A53" s="176">
        <v>52</v>
      </c>
      <c r="B53" s="137">
        <v>125</v>
      </c>
      <c r="C53" s="137">
        <v>7</v>
      </c>
      <c r="D53" s="137">
        <v>13</v>
      </c>
      <c r="E53" s="137"/>
      <c r="F53" s="137"/>
      <c r="G53" s="137"/>
      <c r="H53" s="137"/>
      <c r="I53" s="137"/>
      <c r="J53" s="146">
        <f t="shared" si="1"/>
        <v>1.3273228961416878E-2</v>
      </c>
      <c r="K53" s="137"/>
      <c r="L53" s="137" t="s">
        <v>76</v>
      </c>
      <c r="M53" s="177"/>
    </row>
    <row r="54" spans="1:13" x14ac:dyDescent="0.35">
      <c r="A54" s="176">
        <v>53</v>
      </c>
      <c r="B54" s="137">
        <v>125</v>
      </c>
      <c r="C54" s="137">
        <v>8</v>
      </c>
      <c r="D54" s="137"/>
      <c r="E54" s="137">
        <v>11</v>
      </c>
      <c r="F54" s="137">
        <v>20</v>
      </c>
      <c r="G54" s="137"/>
      <c r="H54" s="137"/>
      <c r="I54" s="137"/>
      <c r="J54" s="146">
        <f t="shared" si="1"/>
        <v>4.0919244313007058E-2</v>
      </c>
      <c r="K54" s="137"/>
      <c r="L54" s="137" t="s">
        <v>76</v>
      </c>
      <c r="M54" s="177"/>
    </row>
    <row r="55" spans="1:13" x14ac:dyDescent="0.35">
      <c r="A55" s="176">
        <v>54</v>
      </c>
      <c r="B55" s="137">
        <v>125</v>
      </c>
      <c r="C55" s="137">
        <v>7.5</v>
      </c>
      <c r="D55" s="137">
        <v>20</v>
      </c>
      <c r="E55" s="137"/>
      <c r="F55" s="137"/>
      <c r="G55" s="137"/>
      <c r="H55" s="137"/>
      <c r="I55" s="137"/>
      <c r="J55" s="146">
        <f t="shared" si="1"/>
        <v>3.1415926535897934E-2</v>
      </c>
      <c r="K55" s="137"/>
      <c r="L55" s="137" t="s">
        <v>76</v>
      </c>
      <c r="M55" s="177"/>
    </row>
    <row r="56" spans="1:13" x14ac:dyDescent="0.35">
      <c r="A56" s="176">
        <v>55</v>
      </c>
      <c r="B56" s="137">
        <v>125</v>
      </c>
      <c r="C56" s="137">
        <v>8</v>
      </c>
      <c r="D56" s="137">
        <v>22</v>
      </c>
      <c r="E56" s="137"/>
      <c r="F56" s="137"/>
      <c r="G56" s="137"/>
      <c r="H56" s="137"/>
      <c r="I56" s="137"/>
      <c r="J56" s="146">
        <f t="shared" si="1"/>
        <v>3.8013271108436497E-2</v>
      </c>
      <c r="K56" s="137"/>
      <c r="L56" s="137" t="s">
        <v>78</v>
      </c>
      <c r="M56" s="177"/>
    </row>
    <row r="57" spans="1:13" x14ac:dyDescent="0.35">
      <c r="A57" s="181">
        <v>56</v>
      </c>
      <c r="B57" s="133">
        <v>125</v>
      </c>
      <c r="C57" s="133">
        <v>7.5</v>
      </c>
      <c r="D57" s="133">
        <v>16</v>
      </c>
      <c r="E57" s="133"/>
      <c r="F57" s="133"/>
      <c r="G57" s="133"/>
      <c r="H57" s="133"/>
      <c r="I57" s="133"/>
      <c r="J57" s="311">
        <f t="shared" si="1"/>
        <v>2.0106192982974676E-2</v>
      </c>
      <c r="K57" s="133">
        <v>1</v>
      </c>
      <c r="L57" s="134" t="s">
        <v>76</v>
      </c>
      <c r="M57" s="182"/>
    </row>
    <row r="58" spans="1:13" x14ac:dyDescent="0.35">
      <c r="A58" s="176">
        <v>57</v>
      </c>
      <c r="B58" s="137">
        <v>125</v>
      </c>
      <c r="C58" s="137">
        <v>6.5</v>
      </c>
      <c r="D58" s="137">
        <v>8</v>
      </c>
      <c r="E58" s="137"/>
      <c r="F58" s="137"/>
      <c r="G58" s="137"/>
      <c r="H58" s="137"/>
      <c r="I58" s="137"/>
      <c r="J58" s="146">
        <f t="shared" si="1"/>
        <v>5.0265482457436689E-3</v>
      </c>
      <c r="K58" s="137"/>
      <c r="L58" s="137" t="s">
        <v>74</v>
      </c>
      <c r="M58" s="177"/>
    </row>
    <row r="59" spans="1:13" x14ac:dyDescent="0.35">
      <c r="A59" s="176">
        <v>58</v>
      </c>
      <c r="B59" s="137">
        <v>125</v>
      </c>
      <c r="C59" s="137">
        <v>7.5</v>
      </c>
      <c r="D59" s="137">
        <v>13</v>
      </c>
      <c r="E59" s="137">
        <v>19</v>
      </c>
      <c r="F59" s="137"/>
      <c r="G59" s="137"/>
      <c r="H59" s="137"/>
      <c r="I59" s="137"/>
      <c r="J59" s="146">
        <f t="shared" si="1"/>
        <v>4.1626102660064765E-2</v>
      </c>
      <c r="K59" s="137"/>
      <c r="L59" s="137" t="s">
        <v>76</v>
      </c>
      <c r="M59" s="177"/>
    </row>
    <row r="60" spans="1:13" ht="15" thickBot="1" x14ac:dyDescent="0.4">
      <c r="A60" s="178">
        <v>59</v>
      </c>
      <c r="B60" s="179">
        <v>125</v>
      </c>
      <c r="C60" s="179">
        <v>8</v>
      </c>
      <c r="D60" s="179"/>
      <c r="E60" s="179">
        <v>23</v>
      </c>
      <c r="F60" s="179">
        <v>11</v>
      </c>
      <c r="G60" s="179"/>
      <c r="H60" s="179"/>
      <c r="I60" s="179"/>
      <c r="J60" s="204">
        <f t="shared" si="1"/>
        <v>5.1050880620834141E-2</v>
      </c>
      <c r="K60" s="179"/>
      <c r="L60" s="179" t="s">
        <v>78</v>
      </c>
      <c r="M60" s="180"/>
    </row>
    <row r="61" spans="1:13" x14ac:dyDescent="0.35">
      <c r="A61" s="229">
        <f>SUBTOTAL(103,Tabla18[número de árboles])</f>
        <v>59</v>
      </c>
      <c r="B61" s="229" t="s">
        <v>175</v>
      </c>
      <c r="C61" s="199">
        <f>SUBTOTAL(101,Tabla18[altura])</f>
        <v>6.6355932203389827</v>
      </c>
      <c r="D61" s="199">
        <f>SUBTOTAL(101,Tabla18[diámetro])</f>
        <v>14.041666666666666</v>
      </c>
      <c r="E61" s="199">
        <f>SUBTOTAL(101,Tabla18[Hermanado1])</f>
        <v>15.714285714285714</v>
      </c>
      <c r="F61" s="199">
        <f>SUBTOTAL(101,Tabla18[Hermanado2])</f>
        <v>11.181818181818182</v>
      </c>
      <c r="G61" s="264">
        <f>SUBTOTAL(101,Tabla18[Hermanado3])</f>
        <v>9.75</v>
      </c>
      <c r="H61" s="199">
        <f>SUBTOTAL(101,Tabla18[Hermanado4])</f>
        <v>5</v>
      </c>
      <c r="K61" s="154">
        <f>SUBTOTAL(109,Tabla18[apeados])</f>
        <v>7</v>
      </c>
      <c r="L61" s="154"/>
      <c r="M61" s="155">
        <f>SUBTOTAL(103,Tabla18[observaciones])</f>
        <v>5</v>
      </c>
    </row>
    <row r="62" spans="1:13" x14ac:dyDescent="0.35">
      <c r="A62" s="74"/>
      <c r="B62" s="74"/>
      <c r="C62" s="145"/>
      <c r="D62" s="145"/>
      <c r="E62" s="145"/>
      <c r="F62" s="145"/>
      <c r="G62" s="208"/>
      <c r="H62" s="145"/>
      <c r="J62" s="145"/>
      <c r="K62" s="145"/>
      <c r="L62" s="286"/>
    </row>
    <row r="63" spans="1:13" x14ac:dyDescent="0.35">
      <c r="A63" s="74"/>
      <c r="B63" s="74"/>
      <c r="C63" s="145"/>
      <c r="D63" s="145"/>
      <c r="E63" s="145"/>
      <c r="F63" s="145"/>
      <c r="G63" s="208"/>
      <c r="H63" s="145"/>
      <c r="J63" s="145"/>
      <c r="K63" s="145"/>
      <c r="L63" s="286"/>
    </row>
    <row r="64" spans="1:13" x14ac:dyDescent="0.35">
      <c r="A64" s="74"/>
      <c r="B64" s="74"/>
      <c r="C64" s="145"/>
      <c r="D64" s="145"/>
      <c r="E64" s="145"/>
      <c r="F64" s="145"/>
      <c r="G64" s="208"/>
      <c r="H64" s="145"/>
      <c r="J64" s="145"/>
      <c r="K64" s="145"/>
      <c r="L64" s="286"/>
    </row>
    <row r="65" spans="1:12" x14ac:dyDescent="0.35">
      <c r="A65" s="74"/>
      <c r="B65" s="74"/>
      <c r="C65" s="145"/>
      <c r="D65" s="145"/>
      <c r="E65" s="145"/>
      <c r="F65" s="145"/>
      <c r="G65" s="208"/>
      <c r="H65" s="145"/>
      <c r="J65" s="145"/>
      <c r="K65" s="145"/>
      <c r="L65" s="286"/>
    </row>
    <row r="66" spans="1:12" x14ac:dyDescent="0.35">
      <c r="A66" s="74"/>
      <c r="B66" s="74"/>
      <c r="C66" s="145"/>
      <c r="D66" s="145"/>
      <c r="E66" s="145"/>
      <c r="F66" s="145"/>
      <c r="G66" s="208"/>
      <c r="H66" s="145"/>
      <c r="J66" s="145"/>
      <c r="K66" s="145"/>
      <c r="L66" s="286"/>
    </row>
    <row r="67" spans="1:12" x14ac:dyDescent="0.35">
      <c r="A67" s="74"/>
      <c r="B67" s="74"/>
      <c r="C67" s="145"/>
      <c r="D67" s="145"/>
      <c r="E67" s="145"/>
      <c r="F67" s="145"/>
      <c r="G67" s="208"/>
      <c r="H67" s="145"/>
      <c r="J67" s="145"/>
      <c r="K67" s="145"/>
      <c r="L67" s="286"/>
    </row>
    <row r="68" spans="1:12" x14ac:dyDescent="0.35">
      <c r="A68" s="74"/>
      <c r="B68" s="74"/>
      <c r="C68" s="145"/>
      <c r="D68" s="145"/>
      <c r="E68" s="145"/>
      <c r="F68" s="145"/>
      <c r="G68" s="208"/>
      <c r="H68" s="145"/>
      <c r="J68" s="145"/>
      <c r="K68" s="145"/>
      <c r="L68" s="286"/>
    </row>
    <row r="69" spans="1:12" x14ac:dyDescent="0.35">
      <c r="A69" s="74"/>
      <c r="B69" s="74"/>
      <c r="C69" s="145"/>
      <c r="D69" s="145"/>
      <c r="E69" s="145"/>
      <c r="F69" s="145"/>
      <c r="G69" s="208"/>
      <c r="H69" s="145"/>
      <c r="J69" s="145"/>
      <c r="K69" s="145"/>
      <c r="L69" s="286"/>
    </row>
    <row r="70" spans="1:12" ht="58" x14ac:dyDescent="0.35">
      <c r="A70" s="247" t="s">
        <v>232</v>
      </c>
      <c r="B70" s="247" t="s">
        <v>216</v>
      </c>
      <c r="C70" s="285" t="s">
        <v>237</v>
      </c>
      <c r="D70" s="247" t="s">
        <v>218</v>
      </c>
      <c r="E70" s="247" t="s">
        <v>219</v>
      </c>
      <c r="F70" s="247" t="s">
        <v>230</v>
      </c>
      <c r="G70" s="247" t="s">
        <v>224</v>
      </c>
      <c r="H70" s="247" t="s">
        <v>226</v>
      </c>
      <c r="I70" s="247" t="s">
        <v>227</v>
      </c>
      <c r="J70" s="145"/>
      <c r="K70" s="145"/>
      <c r="L70" s="286"/>
    </row>
    <row r="71" spans="1:12" x14ac:dyDescent="0.35">
      <c r="A71" s="284">
        <v>125</v>
      </c>
      <c r="B71" s="247"/>
      <c r="C71" s="247"/>
      <c r="D71" s="247"/>
      <c r="E71" s="247"/>
      <c r="F71" s="247"/>
      <c r="G71" s="247"/>
      <c r="H71" s="247"/>
      <c r="I71" s="247"/>
      <c r="J71" s="145"/>
      <c r="K71" s="145"/>
      <c r="L71" s="286"/>
    </row>
    <row r="72" spans="1:12" x14ac:dyDescent="0.35">
      <c r="A72" s="3">
        <v>130</v>
      </c>
      <c r="B72" s="249" t="e">
        <f>Tabla8[[#Totals],[AB m2]]*C85/C84</f>
        <v>#VALUE!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145"/>
      <c r="K72" s="145"/>
      <c r="L72" s="286"/>
    </row>
    <row r="73" spans="1:12" x14ac:dyDescent="0.35">
      <c r="A73" s="3">
        <v>112</v>
      </c>
      <c r="B73" s="2" t="s">
        <v>217</v>
      </c>
      <c r="C73" s="2"/>
      <c r="D73" s="2"/>
      <c r="E73" s="2"/>
      <c r="F73" s="2"/>
      <c r="G73" s="2"/>
      <c r="H73" s="2"/>
      <c r="I73" s="2"/>
      <c r="J73" s="145"/>
      <c r="K73" s="145"/>
      <c r="L73" s="286"/>
    </row>
    <row r="74" spans="1:12" ht="15" thickBot="1" x14ac:dyDescent="0.4">
      <c r="A74" s="3">
        <v>46</v>
      </c>
      <c r="B74" s="2"/>
      <c r="C74" s="2"/>
      <c r="D74" s="2"/>
      <c r="E74" s="2"/>
      <c r="F74" s="2"/>
      <c r="G74" s="2"/>
      <c r="H74" s="2"/>
      <c r="I74" s="2"/>
    </row>
    <row r="75" spans="1:12" ht="15" thickBot="1" x14ac:dyDescent="0.4">
      <c r="A75" s="3">
        <v>43</v>
      </c>
      <c r="B75" s="2"/>
      <c r="C75" s="2"/>
      <c r="D75" s="2"/>
      <c r="E75" s="2"/>
      <c r="F75" s="2"/>
      <c r="G75" s="2"/>
      <c r="H75" s="2"/>
      <c r="I75" s="2"/>
      <c r="J75" s="232"/>
      <c r="K75" s="233"/>
    </row>
    <row r="76" spans="1:12" ht="15" thickBot="1" x14ac:dyDescent="0.4">
      <c r="A76" s="3">
        <v>23</v>
      </c>
      <c r="B76" s="4"/>
      <c r="C76" s="4"/>
      <c r="D76" s="4"/>
      <c r="E76" s="4"/>
      <c r="F76" s="4"/>
      <c r="G76" s="4"/>
      <c r="H76" s="4"/>
      <c r="I76" s="4"/>
    </row>
    <row r="77" spans="1:12" ht="15" thickBot="1" x14ac:dyDescent="0.4">
      <c r="A77" s="3"/>
      <c r="B77" s="4"/>
      <c r="C77" s="4"/>
      <c r="D77" s="4"/>
      <c r="E77" s="4"/>
      <c r="F77" s="4"/>
      <c r="G77" s="4"/>
      <c r="H77" s="4"/>
      <c r="I77" s="4"/>
      <c r="J77" s="232"/>
      <c r="K77" s="233"/>
    </row>
    <row r="79" spans="1:12" ht="15" thickBot="1" x14ac:dyDescent="0.4">
      <c r="A79" s="19" t="s">
        <v>63</v>
      </c>
    </row>
    <row r="80" spans="1:12" ht="15" thickBot="1" x14ac:dyDescent="0.4">
      <c r="A80" s="365" t="s">
        <v>138</v>
      </c>
      <c r="B80" s="366"/>
      <c r="C80" s="366"/>
      <c r="D80" s="366"/>
      <c r="E80" s="366"/>
      <c r="F80" s="366"/>
      <c r="G80" s="366"/>
      <c r="H80" s="366"/>
      <c r="I80" s="366"/>
      <c r="J80" s="366"/>
      <c r="K80" s="367"/>
    </row>
    <row r="81" spans="1:10" ht="15" thickBot="1" x14ac:dyDescent="0.4"/>
    <row r="82" spans="1:10" ht="15" thickBot="1" x14ac:dyDescent="0.4">
      <c r="A82" t="s">
        <v>128</v>
      </c>
      <c r="B82">
        <f>COUNT(Tabla18[[diámetro]:[Hermanado5]])</f>
        <v>78</v>
      </c>
      <c r="C82">
        <f>25*25</f>
        <v>625</v>
      </c>
      <c r="E82" s="55" t="s">
        <v>29</v>
      </c>
      <c r="F82" s="56"/>
      <c r="G82" s="232" t="s">
        <v>65</v>
      </c>
      <c r="H82" s="233"/>
      <c r="I82" s="231" t="s">
        <v>4</v>
      </c>
      <c r="J82" s="233"/>
    </row>
    <row r="83" spans="1:10" ht="15" thickBot="1" x14ac:dyDescent="0.4">
      <c r="B83">
        <f>B82*C83/C82</f>
        <v>1248</v>
      </c>
      <c r="C83">
        <v>10000</v>
      </c>
      <c r="E83" s="52" t="s">
        <v>30</v>
      </c>
      <c r="F83" s="53" t="s">
        <v>31</v>
      </c>
      <c r="G83" s="43">
        <v>125</v>
      </c>
      <c r="H83" s="21" t="s">
        <v>23</v>
      </c>
      <c r="I83" s="13" t="s">
        <v>6</v>
      </c>
      <c r="J83" s="14" t="s">
        <v>58</v>
      </c>
    </row>
    <row r="84" spans="1:10" ht="21.5" thickBot="1" x14ac:dyDescent="0.55000000000000004">
      <c r="A84" s="27" t="s">
        <v>117</v>
      </c>
      <c r="B84" s="49" t="s">
        <v>28</v>
      </c>
      <c r="C84" s="10" t="s">
        <v>52</v>
      </c>
      <c r="D84" s="51" t="s">
        <v>147</v>
      </c>
      <c r="E84" s="48" t="s">
        <v>32</v>
      </c>
      <c r="F84" s="46" t="s">
        <v>33</v>
      </c>
      <c r="G84" s="44">
        <v>130</v>
      </c>
      <c r="H84" s="23" t="s">
        <v>25</v>
      </c>
      <c r="I84" s="15" t="s">
        <v>5</v>
      </c>
      <c r="J84" s="16" t="s">
        <v>59</v>
      </c>
    </row>
    <row r="85" spans="1:10" ht="15" thickBot="1" x14ac:dyDescent="0.4">
      <c r="A85" s="10"/>
      <c r="B85" s="12">
        <v>2</v>
      </c>
      <c r="C85" s="12">
        <v>1</v>
      </c>
      <c r="D85" s="10">
        <f>B83</f>
        <v>1248</v>
      </c>
      <c r="E85" s="48" t="s">
        <v>34</v>
      </c>
      <c r="F85" s="46" t="s">
        <v>35</v>
      </c>
      <c r="G85" s="44">
        <v>46</v>
      </c>
      <c r="H85" s="23" t="s">
        <v>26</v>
      </c>
      <c r="I85" s="15" t="s">
        <v>13</v>
      </c>
      <c r="J85" s="16" t="s">
        <v>60</v>
      </c>
    </row>
    <row r="86" spans="1:10" x14ac:dyDescent="0.35">
      <c r="E86" s="45" t="s">
        <v>36</v>
      </c>
      <c r="F86" s="58" t="s">
        <v>37</v>
      </c>
      <c r="G86" s="44">
        <v>43</v>
      </c>
      <c r="H86" s="23" t="s">
        <v>27</v>
      </c>
      <c r="I86" s="15" t="s">
        <v>10</v>
      </c>
      <c r="J86" s="16" t="s">
        <v>61</v>
      </c>
    </row>
    <row r="87" spans="1:10" ht="15" thickBot="1" x14ac:dyDescent="0.4">
      <c r="E87" s="45" t="s">
        <v>16</v>
      </c>
      <c r="F87" s="46" t="s">
        <v>38</v>
      </c>
      <c r="G87" s="44">
        <v>23</v>
      </c>
      <c r="H87" s="23" t="s">
        <v>22</v>
      </c>
      <c r="I87" s="17" t="s">
        <v>12</v>
      </c>
      <c r="J87" s="18" t="s">
        <v>62</v>
      </c>
    </row>
    <row r="88" spans="1:10" x14ac:dyDescent="0.35">
      <c r="E88" s="45" t="s">
        <v>39</v>
      </c>
      <c r="F88" s="46" t="s">
        <v>40</v>
      </c>
      <c r="G88" s="44">
        <v>73</v>
      </c>
      <c r="H88" s="23" t="s">
        <v>24</v>
      </c>
    </row>
    <row r="89" spans="1:10" x14ac:dyDescent="0.35">
      <c r="E89" s="45" t="s">
        <v>41</v>
      </c>
      <c r="F89" s="46" t="s">
        <v>42</v>
      </c>
      <c r="G89" s="44">
        <v>87</v>
      </c>
      <c r="H89" s="23" t="s">
        <v>47</v>
      </c>
    </row>
    <row r="90" spans="1:10" x14ac:dyDescent="0.35">
      <c r="E90" s="45" t="s">
        <v>43</v>
      </c>
      <c r="F90" s="46" t="s">
        <v>44</v>
      </c>
      <c r="G90" s="44">
        <v>3</v>
      </c>
      <c r="H90" s="23" t="s">
        <v>48</v>
      </c>
    </row>
    <row r="91" spans="1:10" x14ac:dyDescent="0.35">
      <c r="E91" s="45" t="s">
        <v>45</v>
      </c>
      <c r="F91" s="47" t="s">
        <v>46</v>
      </c>
      <c r="G91" s="44">
        <v>82</v>
      </c>
      <c r="H91" s="23" t="s">
        <v>50</v>
      </c>
    </row>
    <row r="92" spans="1:10" x14ac:dyDescent="0.35">
      <c r="G92" s="22">
        <v>83</v>
      </c>
      <c r="H92" s="23" t="s">
        <v>49</v>
      </c>
    </row>
    <row r="93" spans="1:10" x14ac:dyDescent="0.35">
      <c r="G93" s="22">
        <v>42</v>
      </c>
      <c r="H93" s="23" t="s">
        <v>51</v>
      </c>
    </row>
    <row r="94" spans="1:10" x14ac:dyDescent="0.35">
      <c r="G94" s="22">
        <v>112</v>
      </c>
      <c r="H94" s="23" t="s">
        <v>66</v>
      </c>
    </row>
    <row r="95" spans="1:10" ht="15" thickBot="1" x14ac:dyDescent="0.4">
      <c r="G95" s="25">
        <v>113</v>
      </c>
      <c r="H95" s="26" t="s">
        <v>67</v>
      </c>
    </row>
    <row r="100" spans="1:10" x14ac:dyDescent="0.35">
      <c r="A100" t="s">
        <v>228</v>
      </c>
      <c r="B100" t="s">
        <v>206</v>
      </c>
      <c r="C100" t="s">
        <v>229</v>
      </c>
      <c r="D100" t="s">
        <v>142</v>
      </c>
      <c r="E100" t="s">
        <v>147</v>
      </c>
      <c r="F100" t="s">
        <v>225</v>
      </c>
      <c r="G100" t="s">
        <v>207</v>
      </c>
      <c r="H100" t="s">
        <v>231</v>
      </c>
      <c r="I100" t="s">
        <v>213</v>
      </c>
      <c r="J100" t="s">
        <v>215</v>
      </c>
    </row>
    <row r="101" spans="1:10" x14ac:dyDescent="0.35">
      <c r="A101" t="s">
        <v>212</v>
      </c>
      <c r="B101" s="76">
        <f>COUNTIF($D$2:$I$60,"&gt;=2,5")-COUNTIF($D$2:$I$60,"&gt;7,4")</f>
        <v>21</v>
      </c>
      <c r="C101" s="76">
        <v>5</v>
      </c>
      <c r="D101" s="76"/>
      <c r="E101" s="76">
        <f>(B101*10000)/625</f>
        <v>336</v>
      </c>
      <c r="F101" s="76">
        <f>(PI()/4)*(C101/100)^2</f>
        <v>1.9634954084936209E-3</v>
      </c>
      <c r="G101" s="76">
        <f>E101*F101</f>
        <v>0.6597344572538566</v>
      </c>
      <c r="H101" s="76"/>
    </row>
    <row r="102" spans="1:10" x14ac:dyDescent="0.35">
      <c r="A102" t="s">
        <v>211</v>
      </c>
      <c r="B102" s="76">
        <f>COUNTIF($D$2:$I$60,"&gt;=7,5")-COUNTIF($D$2:$I$60,"&gt;12,4")</f>
        <v>16</v>
      </c>
      <c r="C102" s="76">
        <v>10</v>
      </c>
      <c r="D102" s="76"/>
      <c r="E102" s="76">
        <f t="shared" ref="E102:E108" si="2">(B102*10000)/625</f>
        <v>256</v>
      </c>
      <c r="F102" s="76">
        <f t="shared" ref="F102:F108" si="3">(PI()/4)*(C102/100)^2</f>
        <v>7.8539816339744835E-3</v>
      </c>
      <c r="G102" s="76">
        <f t="shared" ref="G102:G108" si="4">E102*F102</f>
        <v>2.0106192982974678</v>
      </c>
      <c r="H102" s="76"/>
    </row>
    <row r="103" spans="1:10" x14ac:dyDescent="0.35">
      <c r="A103" t="s">
        <v>209</v>
      </c>
      <c r="B103" s="76">
        <f>COUNTIF($D$2:$I$60,"&gt;=12,5")-COUNTIF($D$2:$I$60,"&gt;17,4")</f>
        <v>17</v>
      </c>
      <c r="C103" s="76">
        <v>15</v>
      </c>
      <c r="D103" s="76"/>
      <c r="E103" s="76">
        <f t="shared" si="2"/>
        <v>272</v>
      </c>
      <c r="F103" s="76">
        <f t="shared" si="3"/>
        <v>1.7671458676442587E-2</v>
      </c>
      <c r="G103" s="76">
        <f t="shared" si="4"/>
        <v>4.8066367599923838</v>
      </c>
      <c r="H103" s="76"/>
    </row>
    <row r="104" spans="1:10" x14ac:dyDescent="0.35">
      <c r="A104" t="s">
        <v>208</v>
      </c>
      <c r="B104" s="76">
        <f>COUNTIF($D$2:$I$60,"&gt;=17,5")-COUNTIF($D$2:$I$60,"&gt;22,4")</f>
        <v>16</v>
      </c>
      <c r="C104" s="76">
        <v>20</v>
      </c>
      <c r="D104" s="76"/>
      <c r="E104" s="76">
        <f t="shared" si="2"/>
        <v>256</v>
      </c>
      <c r="F104" s="76">
        <f t="shared" si="3"/>
        <v>3.1415926535897934E-2</v>
      </c>
      <c r="G104" s="76">
        <f t="shared" si="4"/>
        <v>8.0424771931898711</v>
      </c>
      <c r="H104" s="76"/>
      <c r="I104" s="76"/>
      <c r="J104" s="76"/>
    </row>
    <row r="105" spans="1:10" x14ac:dyDescent="0.35">
      <c r="A105" t="s">
        <v>210</v>
      </c>
      <c r="B105" s="76">
        <f>COUNTIF($D$2:$I$60,"&gt;=22,5")-COUNTIF($D$2:$I$60,"&gt;27,4")</f>
        <v>8</v>
      </c>
      <c r="C105" s="76">
        <v>25</v>
      </c>
      <c r="D105" s="76"/>
      <c r="E105" s="76">
        <f t="shared" si="2"/>
        <v>128</v>
      </c>
      <c r="F105" s="76">
        <f t="shared" si="3"/>
        <v>4.9087385212340517E-2</v>
      </c>
      <c r="G105" s="76">
        <f t="shared" si="4"/>
        <v>6.2831853071795862</v>
      </c>
      <c r="H105" s="76"/>
      <c r="I105" s="76"/>
      <c r="J105" s="76"/>
    </row>
    <row r="106" spans="1:10" x14ac:dyDescent="0.35">
      <c r="A106" t="s">
        <v>221</v>
      </c>
      <c r="B106" s="76">
        <f>COUNTIF($D$2:$I$60,"&gt;=27,5")-COUNTIF($D$2:$I$60,"&gt;32,4")</f>
        <v>0</v>
      </c>
      <c r="C106" s="76">
        <v>30</v>
      </c>
      <c r="D106" s="76"/>
      <c r="E106" s="76">
        <f t="shared" si="2"/>
        <v>0</v>
      </c>
      <c r="F106" s="76">
        <f t="shared" si="3"/>
        <v>7.0685834705770348E-2</v>
      </c>
      <c r="G106" s="76">
        <f t="shared" si="4"/>
        <v>0</v>
      </c>
      <c r="H106" s="76"/>
      <c r="I106" s="76"/>
      <c r="J106" s="76"/>
    </row>
    <row r="107" spans="1:10" x14ac:dyDescent="0.35">
      <c r="A107" t="s">
        <v>222</v>
      </c>
      <c r="B107" s="76">
        <f>COUNTIF($D$2:$I$60,"&gt;=32,5")-COUNTIF($D$2:$I$60,"&gt;37,4")</f>
        <v>0</v>
      </c>
      <c r="C107" s="76">
        <v>35</v>
      </c>
      <c r="D107" s="76"/>
      <c r="E107" s="76">
        <f t="shared" si="2"/>
        <v>0</v>
      </c>
      <c r="F107" s="76">
        <f t="shared" si="3"/>
        <v>9.6211275016187398E-2</v>
      </c>
      <c r="G107" s="76">
        <f t="shared" si="4"/>
        <v>0</v>
      </c>
      <c r="H107" s="76"/>
      <c r="I107" s="76"/>
      <c r="J107" s="76"/>
    </row>
    <row r="108" spans="1:10" x14ac:dyDescent="0.35">
      <c r="A108" t="s">
        <v>223</v>
      </c>
      <c r="B108" s="76">
        <f>COUNTIF($D$2:$I$60,"&gt;=37,5")-COUNTIF($D$2:$I$60,"&gt;42,4")</f>
        <v>0</v>
      </c>
      <c r="C108" s="76">
        <v>40</v>
      </c>
      <c r="D108" s="76"/>
      <c r="E108" s="76">
        <f t="shared" si="2"/>
        <v>0</v>
      </c>
      <c r="F108" s="76">
        <f t="shared" si="3"/>
        <v>0.12566370614359174</v>
      </c>
      <c r="G108" s="76">
        <f t="shared" si="4"/>
        <v>0</v>
      </c>
      <c r="H108" s="76"/>
      <c r="I108" s="76"/>
      <c r="J108" s="76"/>
    </row>
    <row r="109" spans="1:10" x14ac:dyDescent="0.35">
      <c r="A109" t="s">
        <v>146</v>
      </c>
      <c r="B109" s="273">
        <f>SUBTOTAL(109,Tabla31[NÚMERO DE PIES])</f>
        <v>78</v>
      </c>
      <c r="C109" s="123">
        <f>SUBTOTAL(103,Tabla31[CLASE DIAMETRICA])</f>
        <v>8</v>
      </c>
      <c r="D109" s="123"/>
      <c r="E109" s="273">
        <f>SUBTOTAL(109,Tabla31[pies/ha])</f>
        <v>1248</v>
      </c>
      <c r="F109" s="123"/>
      <c r="G109" s="273">
        <f>SUBTOTAL(109,Tabla31[G (m2/ha.)])</f>
        <v>21.802653015913165</v>
      </c>
      <c r="H109" s="123"/>
      <c r="I109" s="123"/>
      <c r="J109" s="123">
        <f>SUBTOTAL(103,Tabla31[AB (m2) final])</f>
        <v>0</v>
      </c>
    </row>
  </sheetData>
  <mergeCells count="1">
    <mergeCell ref="A80:K80"/>
  </mergeCells>
  <pageMargins left="0.7" right="0.7" top="0.75" bottom="0.75" header="0.3" footer="0.3"/>
  <pageSetup paperSize="8" scale="65" orientation="portrait" r:id="rId1"/>
  <headerFooter>
    <oddHeader xml:space="preserve">&amp;C
Parcela&amp;"-,Negrita"&amp;K08+000 A5
</oddHeader>
  </headerFooter>
  <drawing r:id="rId2"/>
  <legacyDrawing r:id="rId3"/>
  <tableParts count="2">
    <tablePart r:id="rId4"/>
    <tablePart r:id="rId5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6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view="pageLayout" topLeftCell="B95" zoomScale="110" zoomScaleNormal="100" zoomScalePageLayoutView="110" workbookViewId="0">
      <selection activeCell="B105" sqref="B105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3.1796875" customWidth="1"/>
    <col min="11" max="11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194</v>
      </c>
      <c r="H1" s="4" t="s">
        <v>9</v>
      </c>
      <c r="I1" s="198" t="s">
        <v>195</v>
      </c>
      <c r="J1" s="198" t="s">
        <v>239</v>
      </c>
      <c r="K1" s="34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7</v>
      </c>
      <c r="D2" s="174">
        <v>25</v>
      </c>
      <c r="E2" s="174"/>
      <c r="F2" s="190"/>
      <c r="G2" s="190"/>
      <c r="H2" s="190"/>
      <c r="I2" s="190"/>
      <c r="J2" s="237">
        <f t="shared" ref="J2:J45" si="0">PI()*(((D2)/2)/100)^2+PI()*(((E2)/2)/100)^2+PI()*(((F2)/2)/100)^2+PI()*(((G2)/2)/100)^2+PI()*(((H2)/2)/100)^2+PI()*(((I2)/2)/100)^2</f>
        <v>4.9087385212340517E-2</v>
      </c>
      <c r="K2" s="190"/>
      <c r="L2" s="174" t="s">
        <v>73</v>
      </c>
      <c r="M2" s="175"/>
    </row>
    <row r="3" spans="1:13" x14ac:dyDescent="0.35">
      <c r="A3" s="181">
        <v>2</v>
      </c>
      <c r="B3" s="133">
        <v>125</v>
      </c>
      <c r="C3" s="133">
        <v>8</v>
      </c>
      <c r="D3" s="133">
        <v>18</v>
      </c>
      <c r="E3" s="133"/>
      <c r="F3" s="134"/>
      <c r="G3" s="134"/>
      <c r="H3" s="134"/>
      <c r="I3" s="134"/>
      <c r="J3" s="244">
        <f t="shared" si="0"/>
        <v>2.5446900494077322E-2</v>
      </c>
      <c r="K3" s="134">
        <v>1</v>
      </c>
      <c r="L3" s="133" t="s">
        <v>76</v>
      </c>
      <c r="M3" s="182"/>
    </row>
    <row r="4" spans="1:13" x14ac:dyDescent="0.35">
      <c r="A4" s="176">
        <v>3</v>
      </c>
      <c r="B4" s="137">
        <v>125</v>
      </c>
      <c r="C4" s="137">
        <v>7.5</v>
      </c>
      <c r="D4" s="137">
        <v>20</v>
      </c>
      <c r="E4" s="137"/>
      <c r="F4" s="138"/>
      <c r="G4" s="138"/>
      <c r="H4" s="138"/>
      <c r="I4" s="138"/>
      <c r="J4" s="241">
        <f t="shared" si="0"/>
        <v>3.1415926535897934E-2</v>
      </c>
      <c r="K4" s="138"/>
      <c r="L4" s="137" t="s">
        <v>73</v>
      </c>
      <c r="M4" s="177"/>
    </row>
    <row r="5" spans="1:13" x14ac:dyDescent="0.35">
      <c r="A5" s="176">
        <v>4</v>
      </c>
      <c r="B5" s="137">
        <v>125</v>
      </c>
      <c r="C5" s="137">
        <v>8</v>
      </c>
      <c r="D5" s="137">
        <v>25</v>
      </c>
      <c r="E5" s="137"/>
      <c r="F5" s="138"/>
      <c r="G5" s="138"/>
      <c r="H5" s="138"/>
      <c r="I5" s="138"/>
      <c r="J5" s="241">
        <f t="shared" si="0"/>
        <v>4.9087385212340517E-2</v>
      </c>
      <c r="K5" s="138"/>
      <c r="L5" s="137" t="s">
        <v>76</v>
      </c>
      <c r="M5" s="177"/>
    </row>
    <row r="6" spans="1:13" x14ac:dyDescent="0.35">
      <c r="A6" s="181">
        <v>5</v>
      </c>
      <c r="B6" s="133">
        <v>125</v>
      </c>
      <c r="C6" s="133">
        <v>7</v>
      </c>
      <c r="D6" s="133">
        <v>19</v>
      </c>
      <c r="E6" s="133"/>
      <c r="F6" s="134"/>
      <c r="G6" s="134"/>
      <c r="H6" s="134"/>
      <c r="I6" s="134"/>
      <c r="J6" s="244">
        <f t="shared" si="0"/>
        <v>2.8352873698647883E-2</v>
      </c>
      <c r="K6" s="134">
        <v>1</v>
      </c>
      <c r="L6" s="133" t="s">
        <v>73</v>
      </c>
      <c r="M6" s="182"/>
    </row>
    <row r="7" spans="1:13" x14ac:dyDescent="0.35">
      <c r="A7" s="176">
        <v>6</v>
      </c>
      <c r="B7" s="137">
        <v>125</v>
      </c>
      <c r="C7" s="137">
        <v>7</v>
      </c>
      <c r="D7" s="137"/>
      <c r="E7" s="137">
        <v>5</v>
      </c>
      <c r="F7" s="138">
        <v>13</v>
      </c>
      <c r="G7" s="138"/>
      <c r="H7" s="138"/>
      <c r="I7" s="138"/>
      <c r="J7" s="241">
        <f t="shared" si="0"/>
        <v>1.5236724369910498E-2</v>
      </c>
      <c r="K7" s="138"/>
      <c r="L7" s="137" t="s">
        <v>73</v>
      </c>
      <c r="M7" s="177" t="s">
        <v>97</v>
      </c>
    </row>
    <row r="8" spans="1:13" x14ac:dyDescent="0.35">
      <c r="A8" s="176">
        <v>7</v>
      </c>
      <c r="B8" s="137">
        <v>125</v>
      </c>
      <c r="C8" s="137">
        <v>6</v>
      </c>
      <c r="D8" s="137"/>
      <c r="E8" s="137">
        <v>10</v>
      </c>
      <c r="F8" s="138">
        <v>14</v>
      </c>
      <c r="G8" s="138"/>
      <c r="H8" s="138"/>
      <c r="I8" s="138"/>
      <c r="J8" s="241">
        <f t="shared" si="0"/>
        <v>2.3247785636564471E-2</v>
      </c>
      <c r="K8" s="138"/>
      <c r="L8" s="137" t="s">
        <v>74</v>
      </c>
      <c r="M8" s="177"/>
    </row>
    <row r="9" spans="1:13" x14ac:dyDescent="0.35">
      <c r="A9" s="181">
        <v>8</v>
      </c>
      <c r="B9" s="133">
        <v>125</v>
      </c>
      <c r="C9" s="133">
        <v>8.5</v>
      </c>
      <c r="D9" s="133">
        <v>22</v>
      </c>
      <c r="E9" s="133"/>
      <c r="F9" s="134"/>
      <c r="G9" s="134"/>
      <c r="H9" s="134"/>
      <c r="I9" s="134"/>
      <c r="J9" s="244">
        <f t="shared" si="0"/>
        <v>3.8013271108436497E-2</v>
      </c>
      <c r="K9" s="134">
        <v>1</v>
      </c>
      <c r="L9" s="133" t="s">
        <v>76</v>
      </c>
      <c r="M9" s="182"/>
    </row>
    <row r="10" spans="1:13" x14ac:dyDescent="0.35">
      <c r="A10" s="176">
        <v>9</v>
      </c>
      <c r="B10" s="137">
        <v>112</v>
      </c>
      <c r="C10" s="137">
        <v>2.5</v>
      </c>
      <c r="D10" s="137">
        <v>6</v>
      </c>
      <c r="E10" s="137"/>
      <c r="F10" s="138"/>
      <c r="G10" s="138"/>
      <c r="H10" s="138"/>
      <c r="I10" s="138"/>
      <c r="J10" s="241">
        <f t="shared" si="0"/>
        <v>2.8274333882308137E-3</v>
      </c>
      <c r="K10" s="138"/>
      <c r="L10" s="137" t="s">
        <v>75</v>
      </c>
      <c r="M10" s="177"/>
    </row>
    <row r="11" spans="1:13" x14ac:dyDescent="0.35">
      <c r="A11" s="196">
        <v>10</v>
      </c>
      <c r="B11" s="156">
        <v>125</v>
      </c>
      <c r="C11" s="156">
        <v>6.5</v>
      </c>
      <c r="D11" s="156"/>
      <c r="E11" s="156">
        <v>12</v>
      </c>
      <c r="F11" s="149">
        <v>16</v>
      </c>
      <c r="G11" s="149"/>
      <c r="H11" s="149"/>
      <c r="I11" s="149"/>
      <c r="J11" s="242">
        <f t="shared" si="0"/>
        <v>3.1415926535897934E-2</v>
      </c>
      <c r="K11" s="149">
        <v>2</v>
      </c>
      <c r="L11" s="156" t="s">
        <v>74</v>
      </c>
      <c r="M11" s="197"/>
    </row>
    <row r="12" spans="1:13" x14ac:dyDescent="0.35">
      <c r="A12" s="176">
        <v>11</v>
      </c>
      <c r="B12" s="137">
        <v>125</v>
      </c>
      <c r="C12" s="137">
        <v>7.5</v>
      </c>
      <c r="D12" s="137">
        <v>20</v>
      </c>
      <c r="E12" s="137"/>
      <c r="F12" s="138"/>
      <c r="G12" s="138"/>
      <c r="H12" s="138"/>
      <c r="I12" s="138"/>
      <c r="J12" s="241">
        <f t="shared" si="0"/>
        <v>3.1415926535897934E-2</v>
      </c>
      <c r="K12" s="138"/>
      <c r="L12" s="137" t="s">
        <v>73</v>
      </c>
      <c r="M12" s="177"/>
    </row>
    <row r="13" spans="1:13" x14ac:dyDescent="0.35">
      <c r="A13" s="176">
        <v>12</v>
      </c>
      <c r="B13" s="137">
        <v>125</v>
      </c>
      <c r="C13" s="137">
        <v>8.5</v>
      </c>
      <c r="D13" s="137">
        <v>20</v>
      </c>
      <c r="E13" s="137"/>
      <c r="F13" s="138"/>
      <c r="G13" s="138"/>
      <c r="H13" s="138"/>
      <c r="I13" s="138"/>
      <c r="J13" s="241">
        <f t="shared" si="0"/>
        <v>3.1415926535897934E-2</v>
      </c>
      <c r="K13" s="138"/>
      <c r="L13" s="137" t="s">
        <v>76</v>
      </c>
      <c r="M13" s="177"/>
    </row>
    <row r="14" spans="1:13" x14ac:dyDescent="0.35">
      <c r="A14" s="181">
        <v>13</v>
      </c>
      <c r="B14" s="133">
        <v>125</v>
      </c>
      <c r="C14" s="133">
        <v>6</v>
      </c>
      <c r="D14" s="133">
        <v>12</v>
      </c>
      <c r="E14" s="133"/>
      <c r="F14" s="134"/>
      <c r="G14" s="134"/>
      <c r="H14" s="134"/>
      <c r="I14" s="134"/>
      <c r="J14" s="244">
        <f t="shared" si="0"/>
        <v>1.1309733552923255E-2</v>
      </c>
      <c r="K14" s="134">
        <v>1</v>
      </c>
      <c r="L14" s="133" t="s">
        <v>74</v>
      </c>
      <c r="M14" s="182"/>
    </row>
    <row r="15" spans="1:13" x14ac:dyDescent="0.35">
      <c r="A15" s="181">
        <v>14</v>
      </c>
      <c r="B15" s="133">
        <v>125</v>
      </c>
      <c r="C15" s="133">
        <v>6.5</v>
      </c>
      <c r="D15" s="133">
        <v>15</v>
      </c>
      <c r="E15" s="133"/>
      <c r="F15" s="134"/>
      <c r="G15" s="134"/>
      <c r="H15" s="134"/>
      <c r="I15" s="134"/>
      <c r="J15" s="244">
        <f t="shared" si="0"/>
        <v>1.7671458676442587E-2</v>
      </c>
      <c r="K15" s="134">
        <v>1</v>
      </c>
      <c r="L15" s="133" t="s">
        <v>73</v>
      </c>
      <c r="M15" s="182"/>
    </row>
    <row r="16" spans="1:13" x14ac:dyDescent="0.35">
      <c r="A16" s="181">
        <v>15</v>
      </c>
      <c r="B16" s="133">
        <v>125</v>
      </c>
      <c r="C16" s="133">
        <v>7.5</v>
      </c>
      <c r="D16" s="133">
        <v>21</v>
      </c>
      <c r="E16" s="133"/>
      <c r="F16" s="134"/>
      <c r="G16" s="134"/>
      <c r="H16" s="134"/>
      <c r="I16" s="134"/>
      <c r="J16" s="244">
        <f t="shared" si="0"/>
        <v>3.4636059005827467E-2</v>
      </c>
      <c r="K16" s="134">
        <v>1</v>
      </c>
      <c r="L16" s="133" t="s">
        <v>76</v>
      </c>
      <c r="M16" s="182"/>
    </row>
    <row r="17" spans="1:13" x14ac:dyDescent="0.35">
      <c r="A17" s="176">
        <v>16</v>
      </c>
      <c r="B17" s="137">
        <v>125</v>
      </c>
      <c r="C17" s="137">
        <v>8</v>
      </c>
      <c r="D17" s="137">
        <v>19</v>
      </c>
      <c r="E17" s="137"/>
      <c r="F17" s="138"/>
      <c r="G17" s="138"/>
      <c r="H17" s="138"/>
      <c r="I17" s="138"/>
      <c r="J17" s="241">
        <f t="shared" si="0"/>
        <v>2.8352873698647883E-2</v>
      </c>
      <c r="K17" s="138"/>
      <c r="L17" s="137" t="s">
        <v>76</v>
      </c>
      <c r="M17" s="177"/>
    </row>
    <row r="18" spans="1:13" x14ac:dyDescent="0.35">
      <c r="A18" s="196">
        <v>17</v>
      </c>
      <c r="B18" s="156">
        <v>125</v>
      </c>
      <c r="C18" s="156">
        <v>7</v>
      </c>
      <c r="D18" s="156"/>
      <c r="E18" s="156">
        <v>15</v>
      </c>
      <c r="F18" s="149">
        <v>14</v>
      </c>
      <c r="G18" s="149"/>
      <c r="H18" s="149"/>
      <c r="I18" s="149"/>
      <c r="J18" s="242">
        <f t="shared" si="0"/>
        <v>3.3065262679032578E-2</v>
      </c>
      <c r="K18" s="149">
        <v>2</v>
      </c>
      <c r="L18" s="156" t="s">
        <v>73</v>
      </c>
      <c r="M18" s="197"/>
    </row>
    <row r="19" spans="1:13" x14ac:dyDescent="0.35">
      <c r="A19" s="196">
        <v>18</v>
      </c>
      <c r="B19" s="156">
        <v>125</v>
      </c>
      <c r="C19" s="156">
        <v>8</v>
      </c>
      <c r="D19" s="156"/>
      <c r="E19" s="156">
        <v>14</v>
      </c>
      <c r="F19" s="149">
        <v>21</v>
      </c>
      <c r="G19" s="149"/>
      <c r="H19" s="149"/>
      <c r="I19" s="149"/>
      <c r="J19" s="242">
        <f t="shared" si="0"/>
        <v>5.0029863008417455E-2</v>
      </c>
      <c r="K19" s="149">
        <v>2</v>
      </c>
      <c r="L19" s="156" t="s">
        <v>76</v>
      </c>
      <c r="M19" s="197"/>
    </row>
    <row r="20" spans="1:13" x14ac:dyDescent="0.35">
      <c r="A20" s="181">
        <v>19</v>
      </c>
      <c r="B20" s="133">
        <v>125</v>
      </c>
      <c r="C20" s="133">
        <v>5.5</v>
      </c>
      <c r="D20" s="133">
        <v>16</v>
      </c>
      <c r="E20" s="133"/>
      <c r="F20" s="134"/>
      <c r="G20" s="134"/>
      <c r="H20" s="134"/>
      <c r="I20" s="134"/>
      <c r="J20" s="244">
        <f t="shared" si="0"/>
        <v>2.0106192982974676E-2</v>
      </c>
      <c r="K20" s="134">
        <v>1</v>
      </c>
      <c r="L20" s="133" t="s">
        <v>74</v>
      </c>
      <c r="M20" s="182" t="s">
        <v>103</v>
      </c>
    </row>
    <row r="21" spans="1:13" x14ac:dyDescent="0.35">
      <c r="A21" s="181">
        <v>20</v>
      </c>
      <c r="B21" s="133">
        <v>125</v>
      </c>
      <c r="C21" s="133">
        <v>7.5</v>
      </c>
      <c r="D21" s="133">
        <v>21</v>
      </c>
      <c r="E21" s="133"/>
      <c r="F21" s="134"/>
      <c r="G21" s="134"/>
      <c r="H21" s="134"/>
      <c r="I21" s="134"/>
      <c r="J21" s="244">
        <f t="shared" si="0"/>
        <v>3.4636059005827467E-2</v>
      </c>
      <c r="K21" s="134">
        <v>1</v>
      </c>
      <c r="L21" s="133" t="s">
        <v>76</v>
      </c>
      <c r="M21" s="182"/>
    </row>
    <row r="22" spans="1:13" x14ac:dyDescent="0.35">
      <c r="A22" s="181">
        <v>21</v>
      </c>
      <c r="B22" s="133">
        <v>125</v>
      </c>
      <c r="C22" s="133">
        <v>7.5</v>
      </c>
      <c r="D22" s="133">
        <v>20</v>
      </c>
      <c r="E22" s="133"/>
      <c r="F22" s="134"/>
      <c r="G22" s="134"/>
      <c r="H22" s="134"/>
      <c r="I22" s="134"/>
      <c r="J22" s="244">
        <f t="shared" si="0"/>
        <v>3.1415926535897934E-2</v>
      </c>
      <c r="K22" s="134">
        <v>1</v>
      </c>
      <c r="L22" s="133" t="s">
        <v>76</v>
      </c>
      <c r="M22" s="182"/>
    </row>
    <row r="23" spans="1:13" x14ac:dyDescent="0.35">
      <c r="A23" s="181">
        <v>22</v>
      </c>
      <c r="B23" s="133">
        <v>125</v>
      </c>
      <c r="C23" s="133">
        <v>8</v>
      </c>
      <c r="D23" s="133">
        <v>18</v>
      </c>
      <c r="E23" s="133"/>
      <c r="F23" s="134"/>
      <c r="G23" s="134"/>
      <c r="H23" s="134"/>
      <c r="I23" s="134"/>
      <c r="J23" s="244">
        <f t="shared" si="0"/>
        <v>2.5446900494077322E-2</v>
      </c>
      <c r="K23" s="134">
        <v>1</v>
      </c>
      <c r="L23" s="133" t="s">
        <v>76</v>
      </c>
      <c r="M23" s="182"/>
    </row>
    <row r="24" spans="1:13" x14ac:dyDescent="0.35">
      <c r="A24" s="176">
        <v>23</v>
      </c>
      <c r="B24" s="137">
        <v>125</v>
      </c>
      <c r="C24" s="137">
        <v>6.5</v>
      </c>
      <c r="D24" s="137">
        <v>13</v>
      </c>
      <c r="E24" s="137"/>
      <c r="F24" s="138"/>
      <c r="G24" s="138"/>
      <c r="H24" s="138"/>
      <c r="I24" s="138"/>
      <c r="J24" s="241">
        <f t="shared" si="0"/>
        <v>1.3273228961416878E-2</v>
      </c>
      <c r="K24" s="138"/>
      <c r="L24" s="137" t="s">
        <v>73</v>
      </c>
      <c r="M24" s="177"/>
    </row>
    <row r="25" spans="1:13" x14ac:dyDescent="0.35">
      <c r="A25" s="176">
        <v>24</v>
      </c>
      <c r="B25" s="137">
        <v>125</v>
      </c>
      <c r="C25" s="137">
        <v>7</v>
      </c>
      <c r="D25" s="137"/>
      <c r="E25" s="137">
        <v>11</v>
      </c>
      <c r="F25" s="138">
        <v>7</v>
      </c>
      <c r="G25" s="138"/>
      <c r="H25" s="138"/>
      <c r="I25" s="138"/>
      <c r="J25" s="241">
        <f t="shared" si="0"/>
        <v>1.3351768777756621E-2</v>
      </c>
      <c r="K25" s="138"/>
      <c r="L25" s="137" t="s">
        <v>74</v>
      </c>
      <c r="M25" s="177"/>
    </row>
    <row r="26" spans="1:13" x14ac:dyDescent="0.35">
      <c r="A26" s="176">
        <v>25</v>
      </c>
      <c r="B26" s="137">
        <v>112</v>
      </c>
      <c r="C26" s="137">
        <v>8</v>
      </c>
      <c r="D26" s="137">
        <v>18</v>
      </c>
      <c r="E26" s="137"/>
      <c r="F26" s="138"/>
      <c r="G26" s="138"/>
      <c r="H26" s="138"/>
      <c r="I26" s="138"/>
      <c r="J26" s="241">
        <f t="shared" si="0"/>
        <v>2.5446900494077322E-2</v>
      </c>
      <c r="K26" s="138"/>
      <c r="L26" s="137" t="s">
        <v>78</v>
      </c>
      <c r="M26" s="177"/>
    </row>
    <row r="27" spans="1:13" x14ac:dyDescent="0.35">
      <c r="A27" s="181">
        <v>26</v>
      </c>
      <c r="B27" s="133">
        <v>112</v>
      </c>
      <c r="C27" s="133">
        <v>6</v>
      </c>
      <c r="D27" s="133">
        <v>9</v>
      </c>
      <c r="E27" s="133"/>
      <c r="F27" s="134"/>
      <c r="G27" s="134"/>
      <c r="H27" s="134"/>
      <c r="I27" s="134"/>
      <c r="J27" s="244">
        <f t="shared" si="0"/>
        <v>6.3617251235193305E-3</v>
      </c>
      <c r="K27" s="134">
        <v>1</v>
      </c>
      <c r="L27" s="133" t="s">
        <v>73</v>
      </c>
      <c r="M27" s="182"/>
    </row>
    <row r="28" spans="1:13" x14ac:dyDescent="0.35">
      <c r="A28" s="176">
        <v>27</v>
      </c>
      <c r="B28" s="137">
        <v>125</v>
      </c>
      <c r="C28" s="137">
        <v>7</v>
      </c>
      <c r="D28" s="137">
        <v>17</v>
      </c>
      <c r="E28" s="137"/>
      <c r="F28" s="138"/>
      <c r="G28" s="138"/>
      <c r="H28" s="138"/>
      <c r="I28" s="138"/>
      <c r="J28" s="241">
        <f t="shared" si="0"/>
        <v>2.2698006922186261E-2</v>
      </c>
      <c r="K28" s="138"/>
      <c r="L28" s="137" t="s">
        <v>73</v>
      </c>
      <c r="M28" s="177"/>
    </row>
    <row r="29" spans="1:13" x14ac:dyDescent="0.35">
      <c r="A29" s="181">
        <v>28</v>
      </c>
      <c r="B29" s="133">
        <v>125</v>
      </c>
      <c r="C29" s="133">
        <v>6</v>
      </c>
      <c r="D29" s="133">
        <v>9</v>
      </c>
      <c r="E29" s="133"/>
      <c r="F29" s="134"/>
      <c r="G29" s="134"/>
      <c r="H29" s="134"/>
      <c r="I29" s="134"/>
      <c r="J29" s="244">
        <f t="shared" si="0"/>
        <v>6.3617251235193305E-3</v>
      </c>
      <c r="K29" s="134">
        <v>1</v>
      </c>
      <c r="L29" s="133" t="s">
        <v>74</v>
      </c>
      <c r="M29" s="182"/>
    </row>
    <row r="30" spans="1:13" x14ac:dyDescent="0.35">
      <c r="A30" s="181">
        <v>29</v>
      </c>
      <c r="B30" s="133">
        <v>125</v>
      </c>
      <c r="C30" s="133">
        <v>7.5</v>
      </c>
      <c r="D30" s="133">
        <v>13</v>
      </c>
      <c r="E30" s="133"/>
      <c r="F30" s="134"/>
      <c r="G30" s="134"/>
      <c r="H30" s="134"/>
      <c r="I30" s="134"/>
      <c r="J30" s="244">
        <f t="shared" si="0"/>
        <v>1.3273228961416878E-2</v>
      </c>
      <c r="K30" s="134">
        <v>1</v>
      </c>
      <c r="L30" s="133" t="s">
        <v>73</v>
      </c>
      <c r="M30" s="182"/>
    </row>
    <row r="31" spans="1:13" x14ac:dyDescent="0.35">
      <c r="A31" s="176">
        <v>30</v>
      </c>
      <c r="B31" s="137">
        <v>125</v>
      </c>
      <c r="C31" s="137">
        <v>7</v>
      </c>
      <c r="D31" s="137"/>
      <c r="E31" s="137">
        <v>12</v>
      </c>
      <c r="F31" s="138">
        <v>12</v>
      </c>
      <c r="G31" s="138"/>
      <c r="H31" s="138"/>
      <c r="I31" s="138"/>
      <c r="J31" s="241">
        <f t="shared" si="0"/>
        <v>2.2619467105846509E-2</v>
      </c>
      <c r="K31" s="138"/>
      <c r="L31" s="137" t="s">
        <v>76</v>
      </c>
      <c r="M31" s="177"/>
    </row>
    <row r="32" spans="1:13" x14ac:dyDescent="0.35">
      <c r="A32" s="181">
        <v>31</v>
      </c>
      <c r="B32" s="133">
        <v>125</v>
      </c>
      <c r="C32" s="133">
        <v>8.5</v>
      </c>
      <c r="D32" s="133">
        <v>19</v>
      </c>
      <c r="E32" s="133"/>
      <c r="F32" s="134"/>
      <c r="G32" s="134"/>
      <c r="H32" s="134"/>
      <c r="I32" s="134"/>
      <c r="J32" s="244">
        <f t="shared" si="0"/>
        <v>2.8352873698647883E-2</v>
      </c>
      <c r="K32" s="134">
        <v>1</v>
      </c>
      <c r="L32" s="133" t="s">
        <v>78</v>
      </c>
      <c r="M32" s="182"/>
    </row>
    <row r="33" spans="1:14" x14ac:dyDescent="0.35">
      <c r="A33" s="176">
        <v>32</v>
      </c>
      <c r="B33" s="137">
        <v>125</v>
      </c>
      <c r="C33" s="137">
        <v>7</v>
      </c>
      <c r="D33" s="137">
        <v>18</v>
      </c>
      <c r="E33" s="137"/>
      <c r="F33" s="138"/>
      <c r="G33" s="138"/>
      <c r="H33" s="138"/>
      <c r="I33" s="138"/>
      <c r="J33" s="241">
        <f t="shared" si="0"/>
        <v>2.5446900494077322E-2</v>
      </c>
      <c r="K33" s="138"/>
      <c r="L33" s="137" t="s">
        <v>73</v>
      </c>
      <c r="M33" s="177"/>
    </row>
    <row r="34" spans="1:14" x14ac:dyDescent="0.35">
      <c r="A34" s="176">
        <v>33</v>
      </c>
      <c r="B34" s="137">
        <v>112</v>
      </c>
      <c r="C34" s="137">
        <v>1.5</v>
      </c>
      <c r="D34" s="137">
        <v>7</v>
      </c>
      <c r="E34" s="137"/>
      <c r="F34" s="138"/>
      <c r="G34" s="138"/>
      <c r="H34" s="138"/>
      <c r="I34" s="138"/>
      <c r="J34" s="241">
        <f t="shared" si="0"/>
        <v>3.8484510006474969E-3</v>
      </c>
      <c r="K34" s="138"/>
      <c r="L34" s="137" t="s">
        <v>75</v>
      </c>
      <c r="M34" s="177"/>
    </row>
    <row r="35" spans="1:14" x14ac:dyDescent="0.35">
      <c r="A35" s="196">
        <v>34</v>
      </c>
      <c r="B35" s="156">
        <v>125</v>
      </c>
      <c r="C35" s="156">
        <v>8</v>
      </c>
      <c r="D35" s="156"/>
      <c r="E35" s="156">
        <v>18</v>
      </c>
      <c r="F35" s="149">
        <v>16</v>
      </c>
      <c r="G35" s="149"/>
      <c r="H35" s="149"/>
      <c r="I35" s="149"/>
      <c r="J35" s="242">
        <f t="shared" si="0"/>
        <v>4.5553093477051998E-2</v>
      </c>
      <c r="K35" s="149">
        <v>2</v>
      </c>
      <c r="L35" s="156" t="s">
        <v>73</v>
      </c>
      <c r="M35" s="197"/>
    </row>
    <row r="36" spans="1:14" x14ac:dyDescent="0.35">
      <c r="A36" s="176">
        <v>35</v>
      </c>
      <c r="B36" s="137">
        <v>125</v>
      </c>
      <c r="C36" s="137">
        <v>7.5</v>
      </c>
      <c r="D36" s="137">
        <v>17</v>
      </c>
      <c r="E36" s="137"/>
      <c r="F36" s="138"/>
      <c r="G36" s="138"/>
      <c r="H36" s="138"/>
      <c r="I36" s="138"/>
      <c r="J36" s="241">
        <f t="shared" si="0"/>
        <v>2.2698006922186261E-2</v>
      </c>
      <c r="K36" s="138"/>
      <c r="L36" s="137" t="s">
        <v>76</v>
      </c>
      <c r="M36" s="177"/>
    </row>
    <row r="37" spans="1:14" x14ac:dyDescent="0.35">
      <c r="A37" s="181">
        <v>36</v>
      </c>
      <c r="B37" s="133">
        <v>125</v>
      </c>
      <c r="C37" s="133">
        <v>8</v>
      </c>
      <c r="D37" s="133">
        <v>16</v>
      </c>
      <c r="E37" s="133"/>
      <c r="F37" s="134"/>
      <c r="G37" s="134"/>
      <c r="H37" s="134"/>
      <c r="I37" s="134"/>
      <c r="J37" s="244">
        <f t="shared" si="0"/>
        <v>2.0106192982974676E-2</v>
      </c>
      <c r="K37" s="134">
        <v>1</v>
      </c>
      <c r="L37" s="133" t="s">
        <v>76</v>
      </c>
      <c r="M37" s="182"/>
    </row>
    <row r="38" spans="1:14" x14ac:dyDescent="0.35">
      <c r="A38" s="181">
        <v>37</v>
      </c>
      <c r="B38" s="133">
        <v>125</v>
      </c>
      <c r="C38" s="133">
        <v>7</v>
      </c>
      <c r="D38" s="133">
        <v>17</v>
      </c>
      <c r="E38" s="133"/>
      <c r="F38" s="134"/>
      <c r="G38" s="134"/>
      <c r="H38" s="134"/>
      <c r="I38" s="134"/>
      <c r="J38" s="244">
        <f t="shared" si="0"/>
        <v>2.2698006922186261E-2</v>
      </c>
      <c r="K38" s="134">
        <v>1</v>
      </c>
      <c r="L38" s="133" t="s">
        <v>73</v>
      </c>
      <c r="M38" s="182"/>
    </row>
    <row r="39" spans="1:14" x14ac:dyDescent="0.35">
      <c r="A39" s="196">
        <v>38</v>
      </c>
      <c r="B39" s="156">
        <v>125</v>
      </c>
      <c r="C39" s="156">
        <v>7</v>
      </c>
      <c r="D39" s="156"/>
      <c r="E39" s="156">
        <v>14</v>
      </c>
      <c r="F39" s="149">
        <v>14</v>
      </c>
      <c r="G39" s="149"/>
      <c r="H39" s="149"/>
      <c r="I39" s="149"/>
      <c r="J39" s="242">
        <f t="shared" si="0"/>
        <v>3.0787608005179976E-2</v>
      </c>
      <c r="K39" s="149">
        <v>2</v>
      </c>
      <c r="L39" s="156" t="s">
        <v>73</v>
      </c>
      <c r="M39" s="197"/>
    </row>
    <row r="40" spans="1:14" x14ac:dyDescent="0.35">
      <c r="A40" s="176">
        <v>39</v>
      </c>
      <c r="B40" s="137">
        <v>112</v>
      </c>
      <c r="C40" s="137">
        <v>1.5</v>
      </c>
      <c r="D40" s="137">
        <v>5</v>
      </c>
      <c r="E40" s="137"/>
      <c r="F40" s="138"/>
      <c r="G40" s="138"/>
      <c r="H40" s="138"/>
      <c r="I40" s="138"/>
      <c r="J40" s="241">
        <f t="shared" si="0"/>
        <v>1.9634954084936209E-3</v>
      </c>
      <c r="K40" s="138"/>
      <c r="L40" s="137" t="s">
        <v>75</v>
      </c>
      <c r="M40" s="177"/>
    </row>
    <row r="41" spans="1:14" x14ac:dyDescent="0.35">
      <c r="A41" s="176">
        <v>40</v>
      </c>
      <c r="B41" s="137">
        <v>125</v>
      </c>
      <c r="C41" s="137">
        <v>6.5</v>
      </c>
      <c r="D41" s="137">
        <v>17</v>
      </c>
      <c r="E41" s="137"/>
      <c r="F41" s="138"/>
      <c r="G41" s="138"/>
      <c r="H41" s="138"/>
      <c r="I41" s="138"/>
      <c r="J41" s="241">
        <f t="shared" si="0"/>
        <v>2.2698006922186261E-2</v>
      </c>
      <c r="K41" s="138"/>
      <c r="L41" s="137" t="s">
        <v>75</v>
      </c>
      <c r="M41" s="177"/>
    </row>
    <row r="42" spans="1:14" x14ac:dyDescent="0.35">
      <c r="A42" s="181">
        <v>41</v>
      </c>
      <c r="B42" s="133">
        <v>125</v>
      </c>
      <c r="C42" s="133">
        <v>8.5</v>
      </c>
      <c r="D42" s="133">
        <v>21</v>
      </c>
      <c r="E42" s="133"/>
      <c r="F42" s="134"/>
      <c r="G42" s="134"/>
      <c r="H42" s="134"/>
      <c r="I42" s="134"/>
      <c r="J42" s="244">
        <f t="shared" si="0"/>
        <v>3.4636059005827467E-2</v>
      </c>
      <c r="K42" s="134">
        <v>1</v>
      </c>
      <c r="L42" s="133" t="s">
        <v>76</v>
      </c>
      <c r="M42" s="182"/>
    </row>
    <row r="43" spans="1:14" x14ac:dyDescent="0.35">
      <c r="A43" s="181">
        <v>42</v>
      </c>
      <c r="B43" s="133">
        <v>125</v>
      </c>
      <c r="C43" s="133">
        <v>4</v>
      </c>
      <c r="D43" s="133">
        <v>11</v>
      </c>
      <c r="E43" s="133"/>
      <c r="F43" s="134"/>
      <c r="G43" s="134"/>
      <c r="H43" s="134"/>
      <c r="I43" s="134"/>
      <c r="J43" s="244">
        <f t="shared" si="0"/>
        <v>9.5033177771091243E-3</v>
      </c>
      <c r="K43" s="134">
        <v>1</v>
      </c>
      <c r="L43" s="133"/>
      <c r="M43" s="182" t="s">
        <v>84</v>
      </c>
    </row>
    <row r="44" spans="1:14" x14ac:dyDescent="0.35">
      <c r="A44" s="181">
        <v>43</v>
      </c>
      <c r="B44" s="133">
        <v>125</v>
      </c>
      <c r="C44" s="133">
        <v>9</v>
      </c>
      <c r="D44" s="133">
        <v>21</v>
      </c>
      <c r="E44" s="133"/>
      <c r="F44" s="134"/>
      <c r="G44" s="134"/>
      <c r="H44" s="134"/>
      <c r="I44" s="134"/>
      <c r="J44" s="244">
        <f t="shared" si="0"/>
        <v>3.4636059005827467E-2</v>
      </c>
      <c r="K44" s="134">
        <v>1</v>
      </c>
      <c r="L44" s="133" t="s">
        <v>76</v>
      </c>
      <c r="M44" s="182"/>
    </row>
    <row r="45" spans="1:14" ht="15" thickBot="1" x14ac:dyDescent="0.4">
      <c r="A45" s="178">
        <v>44</v>
      </c>
      <c r="B45" s="179">
        <v>125</v>
      </c>
      <c r="C45" s="179">
        <v>8.5</v>
      </c>
      <c r="D45" s="179"/>
      <c r="E45" s="179">
        <v>16</v>
      </c>
      <c r="F45" s="191">
        <v>11</v>
      </c>
      <c r="G45" s="191"/>
      <c r="H45" s="191"/>
      <c r="I45" s="191"/>
      <c r="J45" s="205">
        <f t="shared" si="0"/>
        <v>2.96095107600838E-2</v>
      </c>
      <c r="K45" s="191"/>
      <c r="L45" s="179" t="s">
        <v>76</v>
      </c>
      <c r="M45" s="180"/>
    </row>
    <row r="46" spans="1:14" x14ac:dyDescent="0.35">
      <c r="A46" s="230">
        <f>SUBTOTAL(103,Tabla20[número de árboles])</f>
        <v>44</v>
      </c>
      <c r="B46" s="316" t="s">
        <v>200</v>
      </c>
      <c r="C46" s="316">
        <f>SUBTOTAL(101,Tabla20[altura])</f>
        <v>6.8863636363636367</v>
      </c>
      <c r="D46" s="132">
        <f>SUBTOTAL(101,Tabla20[diámetro])</f>
        <v>16.617647058823529</v>
      </c>
      <c r="E46" s="316">
        <f>SUBTOTAL(101,Tabla20[Hermanado1])</f>
        <v>12.7</v>
      </c>
      <c r="F46" s="317">
        <f>SUBTOTAL(101,Tabla20[Hermanado2])</f>
        <v>13.8</v>
      </c>
      <c r="G46" s="317"/>
      <c r="H46" s="317"/>
      <c r="K46" s="318">
        <f>SUBTOTAL(109,Tabla20[apeo])</f>
        <v>29</v>
      </c>
      <c r="L46" s="319"/>
      <c r="M46" s="320">
        <f>SUBTOTAL(103,Tabla20[observaciones])</f>
        <v>3</v>
      </c>
    </row>
    <row r="47" spans="1:14" x14ac:dyDescent="0.35">
      <c r="A47" s="291"/>
      <c r="B47" s="77"/>
      <c r="C47" s="77"/>
      <c r="D47" s="360"/>
      <c r="E47" s="361"/>
      <c r="F47" s="362"/>
      <c r="G47" s="61"/>
      <c r="H47" s="61"/>
      <c r="I47" s="33"/>
      <c r="J47" s="61"/>
      <c r="K47" s="77"/>
      <c r="L47" s="61"/>
      <c r="M47" s="33"/>
      <c r="N47" s="33"/>
    </row>
    <row r="48" spans="1:14" x14ac:dyDescent="0.35">
      <c r="A48" s="74"/>
      <c r="B48" s="74"/>
      <c r="C48" s="145"/>
      <c r="D48" s="145"/>
      <c r="E48" s="145"/>
      <c r="F48" s="145"/>
      <c r="G48" s="208"/>
      <c r="H48" s="74"/>
      <c r="I48" s="74"/>
      <c r="J48" s="145"/>
      <c r="K48" s="145"/>
      <c r="L48" s="145"/>
      <c r="M48" s="33"/>
      <c r="N48" s="33"/>
    </row>
    <row r="49" spans="1:14" x14ac:dyDescent="0.35">
      <c r="A49" s="74"/>
      <c r="B49" s="74"/>
      <c r="C49" s="145"/>
      <c r="D49" s="145"/>
      <c r="E49" s="145"/>
      <c r="F49" s="145"/>
      <c r="G49" s="208"/>
      <c r="H49" s="74"/>
      <c r="I49" s="74"/>
      <c r="J49" s="145"/>
      <c r="K49" s="145"/>
      <c r="L49" s="145"/>
      <c r="M49" s="33"/>
      <c r="N49" s="33"/>
    </row>
    <row r="50" spans="1:14" x14ac:dyDescent="0.35">
      <c r="A50" s="74"/>
      <c r="B50" s="74"/>
      <c r="C50" s="145"/>
      <c r="D50" s="145"/>
      <c r="E50" s="145"/>
      <c r="F50" s="145"/>
      <c r="G50" s="208"/>
      <c r="H50" s="74"/>
      <c r="I50" s="74"/>
      <c r="J50" s="145"/>
      <c r="K50" s="145"/>
      <c r="L50" s="145"/>
      <c r="M50" s="33"/>
      <c r="N50" s="33"/>
    </row>
    <row r="51" spans="1:14" x14ac:dyDescent="0.35">
      <c r="A51" s="74"/>
      <c r="B51" s="74"/>
      <c r="C51" s="145"/>
      <c r="D51" s="145"/>
      <c r="E51" s="145"/>
      <c r="F51" s="145"/>
      <c r="G51" s="208"/>
      <c r="H51" s="74"/>
      <c r="I51" s="74"/>
      <c r="J51" s="145"/>
      <c r="K51" s="145"/>
      <c r="L51" s="145"/>
      <c r="M51" s="33"/>
      <c r="N51" s="33"/>
    </row>
    <row r="52" spans="1:14" x14ac:dyDescent="0.35">
      <c r="A52" s="74"/>
      <c r="B52" s="74"/>
      <c r="C52" s="145"/>
      <c r="D52" s="145"/>
      <c r="E52" s="145"/>
      <c r="F52" s="145"/>
      <c r="G52" s="208"/>
      <c r="H52" s="74"/>
      <c r="I52" s="74"/>
      <c r="J52" s="145"/>
      <c r="K52" s="145"/>
      <c r="L52" s="145"/>
      <c r="M52" s="33"/>
      <c r="N52" s="33"/>
    </row>
    <row r="53" spans="1:14" x14ac:dyDescent="0.35">
      <c r="A53" s="74"/>
      <c r="B53" s="74"/>
      <c r="C53" s="145"/>
      <c r="D53" s="145"/>
      <c r="E53" s="145"/>
      <c r="F53" s="145"/>
      <c r="G53" s="208"/>
      <c r="H53" s="74"/>
      <c r="I53" s="74"/>
      <c r="J53" s="145"/>
      <c r="K53" s="145"/>
      <c r="L53" s="145"/>
      <c r="M53" s="33"/>
      <c r="N53" s="33"/>
    </row>
    <row r="54" spans="1:14" x14ac:dyDescent="0.35">
      <c r="A54" s="74"/>
      <c r="B54" s="74"/>
      <c r="C54" s="145"/>
      <c r="D54" s="145"/>
      <c r="E54" s="145"/>
      <c r="F54" s="145"/>
      <c r="G54" s="208"/>
      <c r="H54" s="74"/>
      <c r="I54" s="74"/>
      <c r="J54" s="145"/>
      <c r="K54" s="145"/>
      <c r="L54" s="145"/>
      <c r="M54" s="33"/>
      <c r="N54" s="33"/>
    </row>
    <row r="55" spans="1:14" x14ac:dyDescent="0.35">
      <c r="A55" s="74"/>
      <c r="B55" s="74"/>
      <c r="C55" s="145"/>
      <c r="D55" s="145"/>
      <c r="E55" s="145"/>
      <c r="F55" s="145"/>
      <c r="G55" s="208"/>
      <c r="H55" s="74"/>
      <c r="I55" s="74"/>
      <c r="J55" s="145"/>
      <c r="K55" s="145"/>
      <c r="L55" s="145"/>
      <c r="M55" s="33"/>
      <c r="N55" s="33"/>
    </row>
    <row r="56" spans="1:14" x14ac:dyDescent="0.35">
      <c r="A56" s="74"/>
      <c r="B56" s="74"/>
      <c r="C56" s="145"/>
      <c r="D56" s="145"/>
      <c r="E56" s="145"/>
      <c r="F56" s="145"/>
      <c r="G56" s="208"/>
      <c r="H56" s="74"/>
      <c r="I56" s="74"/>
      <c r="J56" s="145"/>
      <c r="K56" s="145"/>
      <c r="L56" s="145"/>
      <c r="M56" s="33"/>
      <c r="N56" s="33"/>
    </row>
    <row r="57" spans="1:14" x14ac:dyDescent="0.35">
      <c r="A57" s="74"/>
      <c r="B57" s="74"/>
      <c r="C57" s="145"/>
      <c r="D57" s="145"/>
      <c r="E57" s="145"/>
      <c r="F57" s="145"/>
      <c r="G57" s="208"/>
      <c r="H57" s="74"/>
      <c r="I57" s="74"/>
      <c r="J57" s="145"/>
      <c r="K57" s="145"/>
      <c r="L57" s="145"/>
      <c r="M57" s="33"/>
      <c r="N57" s="33"/>
    </row>
    <row r="58" spans="1:14" x14ac:dyDescent="0.35">
      <c r="A58" s="74"/>
      <c r="B58" s="74"/>
      <c r="C58" s="145"/>
      <c r="D58" s="145"/>
      <c r="E58" s="145"/>
      <c r="F58" s="145"/>
      <c r="G58" s="208"/>
      <c r="H58" s="74"/>
      <c r="I58" s="74"/>
      <c r="J58" s="145"/>
      <c r="K58" s="145"/>
      <c r="L58" s="145"/>
      <c r="M58" s="33"/>
      <c r="N58" s="33"/>
    </row>
    <row r="59" spans="1:14" x14ac:dyDescent="0.35">
      <c r="A59" s="74"/>
      <c r="B59" s="74"/>
      <c r="C59" s="145"/>
      <c r="D59" s="145"/>
      <c r="E59" s="145"/>
      <c r="F59" s="145"/>
      <c r="G59" s="208"/>
      <c r="H59" s="74"/>
      <c r="I59" s="74"/>
      <c r="J59" s="145"/>
      <c r="K59" s="145"/>
      <c r="L59" s="145"/>
      <c r="M59" s="33"/>
      <c r="N59" s="33"/>
    </row>
    <row r="60" spans="1:14" x14ac:dyDescent="0.35">
      <c r="A60" s="74"/>
      <c r="B60" s="74"/>
      <c r="C60" s="145"/>
      <c r="D60" s="145"/>
      <c r="E60" s="145"/>
      <c r="F60" s="145"/>
      <c r="G60" s="208"/>
      <c r="H60" s="74"/>
      <c r="I60" s="74"/>
      <c r="J60" s="145"/>
      <c r="K60" s="145"/>
      <c r="L60" s="145"/>
      <c r="M60" s="33"/>
      <c r="N60" s="33"/>
    </row>
    <row r="61" spans="1:14" x14ac:dyDescent="0.35">
      <c r="A61" s="74"/>
      <c r="B61" s="74"/>
      <c r="C61" s="145"/>
      <c r="D61" s="145"/>
      <c r="E61" s="145"/>
      <c r="F61" s="145"/>
      <c r="G61" s="208"/>
      <c r="H61" s="74"/>
      <c r="I61" s="74"/>
      <c r="J61" s="145"/>
      <c r="K61" s="145"/>
      <c r="L61" s="145"/>
      <c r="M61" s="33"/>
      <c r="N61" s="33"/>
    </row>
    <row r="62" spans="1:14" x14ac:dyDescent="0.35">
      <c r="A62" s="74"/>
      <c r="B62" s="74"/>
      <c r="C62" s="145"/>
      <c r="D62" s="145"/>
      <c r="E62" s="145"/>
      <c r="F62" s="145"/>
      <c r="G62" s="208"/>
      <c r="H62" s="74"/>
      <c r="I62" s="74"/>
      <c r="J62" s="145"/>
      <c r="K62" s="145"/>
      <c r="L62" s="145"/>
      <c r="M62" s="33"/>
      <c r="N62" s="33"/>
    </row>
    <row r="63" spans="1:14" x14ac:dyDescent="0.35">
      <c r="A63" s="74"/>
      <c r="B63" s="74"/>
      <c r="C63" s="145"/>
      <c r="D63" s="145"/>
      <c r="E63" s="145"/>
      <c r="F63" s="145"/>
      <c r="G63" s="208"/>
      <c r="H63" s="74"/>
      <c r="I63" s="74"/>
      <c r="J63" s="145"/>
      <c r="K63" s="145"/>
      <c r="L63" s="145"/>
      <c r="M63" s="33"/>
      <c r="N63" s="33"/>
    </row>
    <row r="64" spans="1:14" x14ac:dyDescent="0.35">
      <c r="A64" s="74"/>
      <c r="B64" s="74"/>
      <c r="C64" s="145"/>
      <c r="D64" s="145"/>
      <c r="E64" s="145"/>
      <c r="F64" s="145"/>
      <c r="G64" s="208"/>
      <c r="H64" s="74"/>
      <c r="I64" s="74"/>
      <c r="J64" s="145"/>
      <c r="K64" s="145"/>
      <c r="L64" s="145"/>
      <c r="M64" s="33"/>
      <c r="N64" s="33"/>
    </row>
    <row r="65" spans="1:14" x14ac:dyDescent="0.35">
      <c r="A65" s="74"/>
      <c r="B65" s="74"/>
      <c r="C65" s="145"/>
      <c r="D65" s="145"/>
      <c r="E65" s="145"/>
      <c r="F65" s="145"/>
      <c r="G65" s="208"/>
      <c r="H65" s="74"/>
      <c r="I65" s="74"/>
      <c r="J65" s="145"/>
      <c r="K65" s="145"/>
      <c r="L65" s="145"/>
      <c r="M65" s="33"/>
      <c r="N65" s="33"/>
    </row>
    <row r="66" spans="1:14" x14ac:dyDescent="0.35">
      <c r="A66" s="74"/>
      <c r="B66" s="74"/>
      <c r="C66" s="145"/>
      <c r="D66" s="145"/>
      <c r="E66" s="145"/>
      <c r="F66" s="145"/>
      <c r="G66" s="208"/>
      <c r="H66" s="74"/>
      <c r="I66" s="74"/>
      <c r="J66" s="145"/>
      <c r="K66" s="145"/>
      <c r="L66" s="145"/>
      <c r="M66" s="33"/>
      <c r="N66" s="33"/>
    </row>
    <row r="67" spans="1:14" x14ac:dyDescent="0.35">
      <c r="A67" s="74"/>
      <c r="B67" s="74"/>
      <c r="C67" s="145"/>
      <c r="D67" s="145"/>
      <c r="E67" s="145"/>
      <c r="F67" s="145"/>
      <c r="G67" s="208"/>
      <c r="H67" s="74"/>
      <c r="I67" s="74"/>
      <c r="J67" s="145"/>
      <c r="K67" s="145"/>
      <c r="L67" s="145"/>
      <c r="M67" s="33"/>
      <c r="N67" s="33"/>
    </row>
    <row r="68" spans="1:14" x14ac:dyDescent="0.35">
      <c r="A68" s="74"/>
      <c r="B68" s="74"/>
      <c r="C68" s="145"/>
      <c r="D68" s="145"/>
      <c r="E68" s="145"/>
      <c r="F68" s="145"/>
      <c r="G68" s="208"/>
      <c r="H68" s="74"/>
      <c r="I68" s="74"/>
      <c r="J68" s="145"/>
      <c r="K68" s="145"/>
      <c r="L68" s="145"/>
      <c r="M68" s="33"/>
      <c r="N68" s="33"/>
    </row>
    <row r="69" spans="1:14" ht="15" thickBot="1" x14ac:dyDescent="0.4">
      <c r="A69" s="74"/>
      <c r="B69" s="74"/>
      <c r="C69" s="145"/>
      <c r="D69" s="145"/>
      <c r="E69" s="145"/>
      <c r="F69" s="145"/>
      <c r="G69" s="208"/>
      <c r="H69" s="74"/>
      <c r="I69" s="74"/>
      <c r="J69" s="145"/>
      <c r="K69" s="145"/>
      <c r="L69" s="145"/>
      <c r="M69" s="33"/>
      <c r="N69" s="33"/>
    </row>
    <row r="70" spans="1:14" ht="58.5" thickBot="1" x14ac:dyDescent="0.4">
      <c r="A70" s="293" t="s">
        <v>232</v>
      </c>
      <c r="B70" s="294" t="s">
        <v>216</v>
      </c>
      <c r="C70" s="295" t="s">
        <v>237</v>
      </c>
      <c r="D70" s="294" t="s">
        <v>218</v>
      </c>
      <c r="E70" s="294" t="s">
        <v>219</v>
      </c>
      <c r="F70" s="294" t="s">
        <v>230</v>
      </c>
      <c r="G70" s="294" t="s">
        <v>224</v>
      </c>
      <c r="H70" s="294" t="s">
        <v>226</v>
      </c>
      <c r="I70" s="294" t="s">
        <v>227</v>
      </c>
      <c r="J70" s="296"/>
      <c r="K70" s="296"/>
      <c r="L70" s="50"/>
      <c r="M70" s="33"/>
      <c r="N70" s="33"/>
    </row>
    <row r="71" spans="1:14" x14ac:dyDescent="0.35">
      <c r="A71" s="292">
        <v>125</v>
      </c>
      <c r="B71" s="290"/>
      <c r="C71" s="290"/>
      <c r="D71" s="290"/>
      <c r="E71" s="290"/>
      <c r="F71" s="290"/>
      <c r="G71" s="290"/>
      <c r="H71" s="290"/>
      <c r="I71" s="290"/>
      <c r="J71" s="145"/>
      <c r="K71" s="145"/>
      <c r="M71" s="33"/>
      <c r="N71" s="33"/>
    </row>
    <row r="72" spans="1:14" x14ac:dyDescent="0.35">
      <c r="A72" s="3">
        <v>130</v>
      </c>
      <c r="B72" s="249" t="e">
        <f>Tabla8[[#Totals],[AB m2]]*C85/C84</f>
        <v>#DIV/0!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145"/>
      <c r="K72" s="145"/>
      <c r="M72" s="33"/>
      <c r="N72" s="33"/>
    </row>
    <row r="73" spans="1:14" x14ac:dyDescent="0.35">
      <c r="A73" s="3">
        <v>112</v>
      </c>
      <c r="B73" s="2"/>
      <c r="C73" s="2"/>
      <c r="D73" s="2"/>
      <c r="E73" s="2"/>
      <c r="F73" s="2"/>
      <c r="G73" s="2"/>
      <c r="H73" s="2"/>
      <c r="I73" s="2"/>
      <c r="J73" s="145"/>
      <c r="K73" s="145"/>
      <c r="M73" s="33"/>
      <c r="N73" s="33"/>
    </row>
    <row r="74" spans="1:14" ht="15" thickBot="1" x14ac:dyDescent="0.4">
      <c r="A74" s="3">
        <v>46</v>
      </c>
      <c r="B74" s="2"/>
      <c r="C74" s="2"/>
      <c r="D74" s="2"/>
      <c r="E74" s="2"/>
      <c r="F74" s="2"/>
      <c r="G74" s="2"/>
      <c r="H74" s="2"/>
      <c r="I74" s="2"/>
      <c r="M74" s="33"/>
      <c r="N74" s="33"/>
    </row>
    <row r="75" spans="1:14" ht="15" thickBot="1" x14ac:dyDescent="0.4">
      <c r="A75" s="3">
        <v>43</v>
      </c>
      <c r="B75" s="2"/>
      <c r="C75" s="2"/>
      <c r="D75" s="2"/>
      <c r="E75" s="2"/>
      <c r="F75" s="2"/>
      <c r="G75" s="2"/>
      <c r="H75" s="2"/>
      <c r="I75" s="2"/>
      <c r="J75" s="232"/>
      <c r="K75" s="233"/>
      <c r="M75" s="33"/>
      <c r="N75" s="33"/>
    </row>
    <row r="76" spans="1:14" ht="15" thickBot="1" x14ac:dyDescent="0.4">
      <c r="A76" s="3">
        <v>23</v>
      </c>
      <c r="B76" s="4"/>
      <c r="C76" s="4"/>
      <c r="D76" s="4"/>
      <c r="E76" s="4"/>
      <c r="F76" s="4"/>
      <c r="G76" s="4"/>
      <c r="H76" s="4"/>
      <c r="I76" s="4"/>
      <c r="M76" s="33"/>
      <c r="N76" s="33"/>
    </row>
    <row r="77" spans="1:14" ht="15" thickBot="1" x14ac:dyDescent="0.4">
      <c r="A77" s="19" t="s">
        <v>63</v>
      </c>
      <c r="B77" s="4"/>
      <c r="C77" s="4"/>
      <c r="D77" s="4"/>
      <c r="E77" s="4"/>
      <c r="F77" s="4"/>
      <c r="G77" s="4"/>
      <c r="H77" s="4"/>
      <c r="I77" s="4"/>
      <c r="J77" s="232"/>
      <c r="K77" s="233"/>
      <c r="M77" s="33"/>
      <c r="N77" s="33"/>
    </row>
    <row r="78" spans="1:14" ht="15" thickBot="1" x14ac:dyDescent="0.4">
      <c r="A78" s="365" t="s">
        <v>127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7"/>
      <c r="M78" s="33"/>
      <c r="N78" s="33"/>
    </row>
    <row r="79" spans="1:14" ht="15" thickBot="1" x14ac:dyDescent="0.4">
      <c r="M79" s="33"/>
      <c r="N79" s="33"/>
    </row>
    <row r="80" spans="1:14" ht="15" thickBot="1" x14ac:dyDescent="0.4">
      <c r="A80" t="s">
        <v>128</v>
      </c>
      <c r="B80">
        <f>COUNT(Tabla20[[diámetro]:[Hermanado5]])</f>
        <v>54</v>
      </c>
      <c r="C80">
        <f>25*25</f>
        <v>625</v>
      </c>
      <c r="E80" s="55" t="s">
        <v>29</v>
      </c>
      <c r="F80" s="56"/>
      <c r="G80" s="29" t="s">
        <v>65</v>
      </c>
      <c r="H80" s="30"/>
      <c r="I80" s="28" t="s">
        <v>4</v>
      </c>
      <c r="J80" s="30"/>
      <c r="M80" s="33"/>
      <c r="N80" s="33"/>
    </row>
    <row r="81" spans="1:14" ht="15" thickBot="1" x14ac:dyDescent="0.4">
      <c r="B81">
        <f>B80*C81/C80</f>
        <v>864</v>
      </c>
      <c r="C81">
        <v>10000</v>
      </c>
      <c r="E81" s="52" t="s">
        <v>30</v>
      </c>
      <c r="F81" s="53" t="s">
        <v>31</v>
      </c>
      <c r="G81" s="43">
        <v>125</v>
      </c>
      <c r="H81" s="21" t="s">
        <v>23</v>
      </c>
      <c r="I81" s="13" t="s">
        <v>6</v>
      </c>
      <c r="J81" s="14" t="s">
        <v>58</v>
      </c>
      <c r="M81" s="33"/>
      <c r="N81" s="33"/>
    </row>
    <row r="82" spans="1:14" ht="21.5" thickBot="1" x14ac:dyDescent="0.55000000000000004">
      <c r="A82" s="27" t="s">
        <v>104</v>
      </c>
      <c r="B82" s="49" t="s">
        <v>28</v>
      </c>
      <c r="C82" s="10" t="s">
        <v>52</v>
      </c>
      <c r="D82" s="51" t="s">
        <v>147</v>
      </c>
      <c r="E82" s="48" t="s">
        <v>32</v>
      </c>
      <c r="F82" s="46" t="s">
        <v>33</v>
      </c>
      <c r="G82" s="44">
        <v>130</v>
      </c>
      <c r="H82" s="23" t="s">
        <v>25</v>
      </c>
      <c r="I82" s="15" t="s">
        <v>5</v>
      </c>
      <c r="J82" s="16" t="s">
        <v>59</v>
      </c>
      <c r="M82" s="33"/>
      <c r="N82" s="33"/>
    </row>
    <row r="83" spans="1:14" ht="15" thickBot="1" x14ac:dyDescent="0.4">
      <c r="A83" s="10"/>
      <c r="B83" s="12">
        <v>2</v>
      </c>
      <c r="C83" s="12">
        <v>1</v>
      </c>
      <c r="D83" s="10">
        <f>B81</f>
        <v>864</v>
      </c>
      <c r="E83" s="48" t="s">
        <v>34</v>
      </c>
      <c r="F83" s="46" t="s">
        <v>35</v>
      </c>
      <c r="G83" s="44">
        <v>46</v>
      </c>
      <c r="H83" s="23" t="s">
        <v>26</v>
      </c>
      <c r="I83" s="15" t="s">
        <v>13</v>
      </c>
      <c r="J83" s="16" t="s">
        <v>60</v>
      </c>
      <c r="M83" s="33"/>
      <c r="N83" s="33"/>
    </row>
    <row r="84" spans="1:14" x14ac:dyDescent="0.35">
      <c r="E84" s="45" t="s">
        <v>36</v>
      </c>
      <c r="F84" s="58" t="s">
        <v>37</v>
      </c>
      <c r="G84" s="44">
        <v>43</v>
      </c>
      <c r="H84" s="23" t="s">
        <v>27</v>
      </c>
      <c r="I84" s="15" t="s">
        <v>10</v>
      </c>
      <c r="J84" s="16" t="s">
        <v>61</v>
      </c>
      <c r="M84" s="33"/>
      <c r="N84" s="33"/>
    </row>
    <row r="85" spans="1:14" ht="15" thickBot="1" x14ac:dyDescent="0.4">
      <c r="E85" s="45" t="s">
        <v>16</v>
      </c>
      <c r="F85" s="46" t="s">
        <v>38</v>
      </c>
      <c r="G85" s="44">
        <v>23</v>
      </c>
      <c r="H85" s="23" t="s">
        <v>22</v>
      </c>
      <c r="I85" s="17" t="s">
        <v>12</v>
      </c>
      <c r="J85" s="18" t="s">
        <v>62</v>
      </c>
      <c r="M85" s="33"/>
      <c r="N85" s="33"/>
    </row>
    <row r="86" spans="1:14" x14ac:dyDescent="0.35">
      <c r="E86" s="45" t="s">
        <v>39</v>
      </c>
      <c r="F86" s="46" t="s">
        <v>40</v>
      </c>
      <c r="G86" s="44">
        <v>73</v>
      </c>
      <c r="H86" s="23" t="s">
        <v>24</v>
      </c>
      <c r="M86" s="33"/>
      <c r="N86" s="33"/>
    </row>
    <row r="87" spans="1:14" x14ac:dyDescent="0.35">
      <c r="E87" s="45" t="s">
        <v>41</v>
      </c>
      <c r="F87" s="46" t="s">
        <v>42</v>
      </c>
      <c r="G87" s="44">
        <v>87</v>
      </c>
      <c r="H87" s="23" t="s">
        <v>47</v>
      </c>
      <c r="M87" s="33"/>
      <c r="N87" s="33"/>
    </row>
    <row r="88" spans="1:14" x14ac:dyDescent="0.35">
      <c r="E88" s="45" t="s">
        <v>43</v>
      </c>
      <c r="F88" s="46" t="s">
        <v>44</v>
      </c>
      <c r="G88" s="44">
        <v>3</v>
      </c>
      <c r="H88" s="23" t="s">
        <v>48</v>
      </c>
    </row>
    <row r="89" spans="1:14" x14ac:dyDescent="0.35">
      <c r="E89" s="45" t="s">
        <v>45</v>
      </c>
      <c r="F89" s="47" t="s">
        <v>46</v>
      </c>
      <c r="G89" s="44">
        <v>82</v>
      </c>
      <c r="H89" s="23" t="s">
        <v>50</v>
      </c>
    </row>
    <row r="90" spans="1:14" x14ac:dyDescent="0.35">
      <c r="G90" s="22">
        <v>83</v>
      </c>
      <c r="H90" s="23" t="s">
        <v>49</v>
      </c>
    </row>
    <row r="91" spans="1:14" x14ac:dyDescent="0.35">
      <c r="G91" s="22">
        <v>42</v>
      </c>
      <c r="H91" s="23" t="s">
        <v>51</v>
      </c>
    </row>
    <row r="92" spans="1:14" x14ac:dyDescent="0.35">
      <c r="G92" s="22">
        <v>112</v>
      </c>
      <c r="H92" s="23" t="s">
        <v>66</v>
      </c>
    </row>
    <row r="93" spans="1:14" ht="15" thickBot="1" x14ac:dyDescent="0.4">
      <c r="G93" s="25">
        <v>113</v>
      </c>
      <c r="H93" s="26" t="s">
        <v>67</v>
      </c>
    </row>
    <row r="100" spans="1:10" ht="15" thickBot="1" x14ac:dyDescent="0.4">
      <c r="A100" s="298" t="s">
        <v>228</v>
      </c>
      <c r="B100" s="298" t="s">
        <v>206</v>
      </c>
      <c r="C100" s="298" t="s">
        <v>229</v>
      </c>
      <c r="D100" s="298" t="s">
        <v>142</v>
      </c>
      <c r="E100" s="298" t="s">
        <v>147</v>
      </c>
      <c r="F100" s="298" t="s">
        <v>225</v>
      </c>
      <c r="G100" s="298" t="s">
        <v>207</v>
      </c>
      <c r="H100" s="298" t="s">
        <v>231</v>
      </c>
      <c r="I100" s="298" t="s">
        <v>213</v>
      </c>
      <c r="J100" s="298" t="s">
        <v>215</v>
      </c>
    </row>
    <row r="101" spans="1:10" x14ac:dyDescent="0.35">
      <c r="A101" s="274" t="s">
        <v>212</v>
      </c>
      <c r="B101" s="346">
        <f>COUNTIF($D$1:$I$45,"&gt;=2,5")-COUNTIF($D$1:$I$45,"&gt;7,4")</f>
        <v>5</v>
      </c>
      <c r="C101" s="351">
        <v>5</v>
      </c>
      <c r="D101" s="346"/>
      <c r="E101" s="346">
        <f>(B101*10000)/625</f>
        <v>80</v>
      </c>
      <c r="F101" s="346">
        <f>(PI()/4)*(C101/100)^2</f>
        <v>1.9634954084936209E-3</v>
      </c>
      <c r="G101" s="346">
        <f>E101*F101</f>
        <v>0.15707963267948966</v>
      </c>
      <c r="H101" s="346"/>
      <c r="I101" s="346"/>
      <c r="J101" s="274"/>
    </row>
    <row r="102" spans="1:10" x14ac:dyDescent="0.35">
      <c r="A102" s="131" t="s">
        <v>211</v>
      </c>
      <c r="B102" s="76">
        <f>COUNTIF($D$1:$I$45,"&gt;=7,5")-COUNTIF($D$1:$I$45,"&gt;12,4")</f>
        <v>10</v>
      </c>
      <c r="C102" s="352">
        <v>10</v>
      </c>
      <c r="D102" s="76"/>
      <c r="E102" s="76">
        <f t="shared" ref="E102:E108" si="1">(B102*10000)/625</f>
        <v>160</v>
      </c>
      <c r="F102" s="76">
        <f t="shared" ref="F102:F108" si="2">(PI()/4)*(C102/100)^2</f>
        <v>7.8539816339744835E-3</v>
      </c>
      <c r="G102" s="76">
        <f t="shared" ref="G102:G108" si="3">E102*F102</f>
        <v>1.2566370614359172</v>
      </c>
      <c r="H102" s="76"/>
      <c r="I102" s="76"/>
      <c r="J102" s="131"/>
    </row>
    <row r="103" spans="1:10" x14ac:dyDescent="0.35">
      <c r="A103" s="274" t="s">
        <v>209</v>
      </c>
      <c r="B103" s="346">
        <f>COUNTIF($D$1:$I$45,"&gt;=12,5")-COUNTIF($D$1:$I$45,"&gt;17,4")</f>
        <v>19</v>
      </c>
      <c r="C103" s="351">
        <v>15</v>
      </c>
      <c r="D103" s="346"/>
      <c r="E103" s="346">
        <f t="shared" si="1"/>
        <v>304</v>
      </c>
      <c r="F103" s="346">
        <f t="shared" si="2"/>
        <v>1.7671458676442587E-2</v>
      </c>
      <c r="G103" s="346">
        <f t="shared" si="3"/>
        <v>5.3721234376385461</v>
      </c>
      <c r="H103" s="346"/>
      <c r="I103" s="346"/>
      <c r="J103" s="274"/>
    </row>
    <row r="104" spans="1:10" x14ac:dyDescent="0.35">
      <c r="A104" s="131" t="s">
        <v>208</v>
      </c>
      <c r="B104" s="76">
        <f>COUNTIF($D$1:$I$45,"&gt;=17,5")-COUNTIF($D$1:$I$45,"&gt;22,4")</f>
        <v>18</v>
      </c>
      <c r="C104" s="352">
        <v>20</v>
      </c>
      <c r="D104" s="76"/>
      <c r="E104" s="76">
        <f t="shared" si="1"/>
        <v>288</v>
      </c>
      <c r="F104" s="76">
        <f t="shared" si="2"/>
        <v>3.1415926535897934E-2</v>
      </c>
      <c r="G104" s="76">
        <f t="shared" si="3"/>
        <v>9.0477868423386045</v>
      </c>
      <c r="H104" s="76"/>
      <c r="I104" s="76"/>
      <c r="J104" s="276"/>
    </row>
    <row r="105" spans="1:10" x14ac:dyDescent="0.35">
      <c r="A105" s="274" t="s">
        <v>210</v>
      </c>
      <c r="B105" s="346">
        <f>COUNTIF($D$1:$I$45,"&gt;=22,5")-COUNTIF($D$1:$I$45,"&gt;27,4")</f>
        <v>2</v>
      </c>
      <c r="C105" s="351">
        <v>25</v>
      </c>
      <c r="D105" s="346"/>
      <c r="E105" s="346">
        <f t="shared" si="1"/>
        <v>32</v>
      </c>
      <c r="F105" s="346">
        <f t="shared" si="2"/>
        <v>4.9087385212340517E-2</v>
      </c>
      <c r="G105" s="346">
        <f t="shared" si="3"/>
        <v>1.5707963267948966</v>
      </c>
      <c r="H105" s="346"/>
      <c r="I105" s="346"/>
      <c r="J105" s="275"/>
    </row>
    <row r="106" spans="1:10" x14ac:dyDescent="0.35">
      <c r="A106" s="131" t="s">
        <v>221</v>
      </c>
      <c r="B106" s="76">
        <f>COUNTIF($D$1:$I$45,"&gt;=27,5")-COUNTIF($D$1:$I$45,"&gt;32,4")</f>
        <v>0</v>
      </c>
      <c r="C106" s="352">
        <v>30</v>
      </c>
      <c r="D106" s="76"/>
      <c r="E106" s="76">
        <f t="shared" si="1"/>
        <v>0</v>
      </c>
      <c r="F106" s="76">
        <f t="shared" si="2"/>
        <v>7.0685834705770348E-2</v>
      </c>
      <c r="G106" s="76">
        <f t="shared" si="3"/>
        <v>0</v>
      </c>
      <c r="H106" s="76"/>
      <c r="I106" s="76"/>
      <c r="J106" s="276"/>
    </row>
    <row r="107" spans="1:10" x14ac:dyDescent="0.35">
      <c r="A107" s="274" t="s">
        <v>222</v>
      </c>
      <c r="B107" s="346">
        <f>COUNTIF($D$1:$I$45,"&gt;=32,5")-COUNTIF($D$1:$I$45,"&gt;37,4")</f>
        <v>0</v>
      </c>
      <c r="C107" s="351">
        <v>35</v>
      </c>
      <c r="D107" s="346"/>
      <c r="E107" s="346">
        <f t="shared" si="1"/>
        <v>0</v>
      </c>
      <c r="F107" s="346">
        <f t="shared" si="2"/>
        <v>9.6211275016187398E-2</v>
      </c>
      <c r="G107" s="346">
        <f t="shared" si="3"/>
        <v>0</v>
      </c>
      <c r="H107" s="346"/>
      <c r="I107" s="346"/>
      <c r="J107" s="275"/>
    </row>
    <row r="108" spans="1:10" x14ac:dyDescent="0.35">
      <c r="A108" s="131" t="s">
        <v>223</v>
      </c>
      <c r="B108" s="76">
        <f>COUNTIF($D$1:$I$45,"&gt;=37,5")-COUNTIF($D$1:$I$45,"&gt;42,4")</f>
        <v>0</v>
      </c>
      <c r="C108" s="352">
        <v>40</v>
      </c>
      <c r="D108" s="76"/>
      <c r="E108" s="76">
        <f t="shared" si="1"/>
        <v>0</v>
      </c>
      <c r="F108" s="76">
        <f t="shared" si="2"/>
        <v>0.12566370614359174</v>
      </c>
      <c r="G108" s="76">
        <f t="shared" si="3"/>
        <v>0</v>
      </c>
      <c r="H108" s="76"/>
      <c r="I108" s="76"/>
      <c r="J108" s="276"/>
    </row>
    <row r="109" spans="1:10" x14ac:dyDescent="0.35">
      <c r="A109" s="131" t="s">
        <v>146</v>
      </c>
      <c r="B109" s="79">
        <f>SUBTOTAL(109,Tabla32[NÚMERO DE PIES])</f>
        <v>54</v>
      </c>
      <c r="C109" s="299"/>
      <c r="D109" s="299"/>
      <c r="E109" s="79">
        <f>SUBTOTAL(109,Tabla32[pies/ha])</f>
        <v>864</v>
      </c>
      <c r="F109" s="299"/>
      <c r="G109" s="299"/>
      <c r="H109" s="299"/>
      <c r="I109" s="299"/>
      <c r="J109" s="299">
        <f>SUBTOTAL(103,Tabla32[AB (m2) final])</f>
        <v>0</v>
      </c>
    </row>
  </sheetData>
  <mergeCells count="1">
    <mergeCell ref="A78:K78"/>
  </mergeCells>
  <pageMargins left="0.7" right="0.7" top="0.75" bottom="0.75" header="0.3" footer="0.3"/>
  <pageSetup paperSize="8" scale="64" orientation="portrait" r:id="rId1"/>
  <headerFooter>
    <oddHeader>&amp;C
Parcela &amp;"-,Negrita"&amp;K08+000A6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B93" zoomScale="110" zoomScaleNormal="100" zoomScalePageLayoutView="110" workbookViewId="0">
      <selection activeCell="B108" sqref="B108"/>
    </sheetView>
  </sheetViews>
  <sheetFormatPr baseColWidth="10" defaultColWidth="8.7265625" defaultRowHeight="14.5" x14ac:dyDescent="0.35"/>
  <cols>
    <col min="1" max="1" width="20.36328125" customWidth="1"/>
    <col min="2" max="2" width="17.08984375" customWidth="1"/>
    <col min="3" max="3" width="18.6328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1796875" customWidth="1"/>
    <col min="10" max="10" width="13.08984375" customWidth="1"/>
    <col min="11" max="11" width="14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198" t="s">
        <v>195</v>
      </c>
      <c r="J1" s="236" t="s">
        <v>214</v>
      </c>
      <c r="K1" s="34" t="s">
        <v>145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8.5</v>
      </c>
      <c r="D2" s="174"/>
      <c r="E2" s="174">
        <v>15</v>
      </c>
      <c r="F2" s="190">
        <v>13</v>
      </c>
      <c r="G2" s="190"/>
      <c r="H2" s="190"/>
      <c r="I2" s="190"/>
      <c r="J2" s="237">
        <f>PI()*(((D2)/2)/100)^2+PI()*(((E2)/2)/100)^2+PI()*(((F2)/2)/100)^2+PI()*(((G2)/2)/100)^2+PI()*(((H2)/2)/100)^2+PI()*(((I2)/2)/100)^2</f>
        <v>3.0944687637859465E-2</v>
      </c>
      <c r="K2" s="190"/>
      <c r="L2" s="174" t="s">
        <v>10</v>
      </c>
      <c r="M2" s="175"/>
    </row>
    <row r="3" spans="1:13" x14ac:dyDescent="0.35">
      <c r="A3" s="176">
        <v>2</v>
      </c>
      <c r="B3" s="137">
        <v>125</v>
      </c>
      <c r="C3" s="137">
        <v>9.5</v>
      </c>
      <c r="D3" s="137">
        <v>22</v>
      </c>
      <c r="E3" s="137"/>
      <c r="F3" s="138"/>
      <c r="G3" s="138"/>
      <c r="H3" s="138"/>
      <c r="I3" s="138"/>
      <c r="J3" s="241">
        <f t="shared" ref="J3:J44" si="0">PI()*(((D3)/2)/100)^2+PI()*(((E3)/2)/100)^2+PI()*(((F3)/2)/100)^2+PI()*(((G3)/2)/100)^2+PI()*(((H3)/2)/100)^2+PI()*(((I3)/2)/100)^2</f>
        <v>3.8013271108436497E-2</v>
      </c>
      <c r="K3" s="138"/>
      <c r="L3" s="137" t="s">
        <v>12</v>
      </c>
      <c r="M3" s="177"/>
    </row>
    <row r="4" spans="1:13" x14ac:dyDescent="0.35">
      <c r="A4" s="196">
        <v>3</v>
      </c>
      <c r="B4" s="156">
        <v>125</v>
      </c>
      <c r="C4" s="156">
        <v>10</v>
      </c>
      <c r="D4" s="156"/>
      <c r="E4" s="156">
        <v>19</v>
      </c>
      <c r="F4" s="149">
        <v>11</v>
      </c>
      <c r="G4" s="149"/>
      <c r="H4" s="149"/>
      <c r="I4" s="149"/>
      <c r="J4" s="242">
        <f t="shared" si="0"/>
        <v>3.7856191475757008E-2</v>
      </c>
      <c r="K4" s="149">
        <v>2</v>
      </c>
      <c r="L4" s="156" t="s">
        <v>12</v>
      </c>
      <c r="M4" s="197"/>
    </row>
    <row r="5" spans="1:13" x14ac:dyDescent="0.35">
      <c r="A5" s="176">
        <v>4</v>
      </c>
      <c r="B5" s="137">
        <v>125</v>
      </c>
      <c r="C5" s="137">
        <v>10</v>
      </c>
      <c r="D5" s="137"/>
      <c r="E5" s="137">
        <v>17</v>
      </c>
      <c r="F5" s="138">
        <v>10</v>
      </c>
      <c r="G5" s="138"/>
      <c r="H5" s="138"/>
      <c r="I5" s="138"/>
      <c r="J5" s="241">
        <f t="shared" si="0"/>
        <v>3.0551988556160745E-2</v>
      </c>
      <c r="K5" s="138"/>
      <c r="L5" s="137" t="s">
        <v>13</v>
      </c>
      <c r="M5" s="177"/>
    </row>
    <row r="6" spans="1:13" x14ac:dyDescent="0.35">
      <c r="A6" s="194">
        <v>5</v>
      </c>
      <c r="B6" s="148">
        <v>125</v>
      </c>
      <c r="C6" s="148">
        <v>9.5</v>
      </c>
      <c r="D6" s="148"/>
      <c r="E6" s="148">
        <v>15</v>
      </c>
      <c r="F6" s="147">
        <v>8</v>
      </c>
      <c r="G6" s="147">
        <v>17</v>
      </c>
      <c r="H6" s="147"/>
      <c r="I6" s="147"/>
      <c r="J6" s="243">
        <f t="shared" si="0"/>
        <v>4.5396013844372515E-2</v>
      </c>
      <c r="K6" s="147">
        <v>3</v>
      </c>
      <c r="L6" s="148" t="s">
        <v>13</v>
      </c>
      <c r="M6" s="195" t="s">
        <v>18</v>
      </c>
    </row>
    <row r="7" spans="1:13" x14ac:dyDescent="0.35">
      <c r="A7" s="176">
        <v>6</v>
      </c>
      <c r="B7" s="137">
        <v>125</v>
      </c>
      <c r="C7" s="137">
        <v>10.5</v>
      </c>
      <c r="D7" s="137">
        <v>21</v>
      </c>
      <c r="E7" s="137"/>
      <c r="F7" s="138"/>
      <c r="G7" s="138"/>
      <c r="H7" s="138"/>
      <c r="I7" s="138"/>
      <c r="J7" s="241">
        <f t="shared" si="0"/>
        <v>3.4636059005827467E-2</v>
      </c>
      <c r="K7" s="138"/>
      <c r="L7" s="137" t="s">
        <v>12</v>
      </c>
      <c r="M7" s="177"/>
    </row>
    <row r="8" spans="1:13" x14ac:dyDescent="0.35">
      <c r="A8" s="176">
        <v>7</v>
      </c>
      <c r="B8" s="137">
        <v>125</v>
      </c>
      <c r="C8" s="137">
        <v>10</v>
      </c>
      <c r="D8" s="137"/>
      <c r="E8" s="137">
        <v>21</v>
      </c>
      <c r="F8" s="138">
        <v>10</v>
      </c>
      <c r="G8" s="138"/>
      <c r="H8" s="138"/>
      <c r="I8" s="138"/>
      <c r="J8" s="241">
        <f t="shared" si="0"/>
        <v>4.2490040639801954E-2</v>
      </c>
      <c r="K8" s="138"/>
      <c r="L8" s="137" t="s">
        <v>13</v>
      </c>
      <c r="M8" s="177"/>
    </row>
    <row r="9" spans="1:13" x14ac:dyDescent="0.35">
      <c r="A9" s="176">
        <v>8</v>
      </c>
      <c r="B9" s="137">
        <v>125</v>
      </c>
      <c r="C9" s="137">
        <v>9</v>
      </c>
      <c r="D9" s="137">
        <v>16</v>
      </c>
      <c r="E9" s="137"/>
      <c r="F9" s="138"/>
      <c r="G9" s="138"/>
      <c r="H9" s="138"/>
      <c r="I9" s="138"/>
      <c r="J9" s="241">
        <f t="shared" si="0"/>
        <v>2.0106192982974676E-2</v>
      </c>
      <c r="K9" s="138"/>
      <c r="L9" s="137" t="s">
        <v>12</v>
      </c>
      <c r="M9" s="177"/>
    </row>
    <row r="10" spans="1:13" x14ac:dyDescent="0.35">
      <c r="A10" s="176">
        <v>9</v>
      </c>
      <c r="B10" s="137">
        <v>125</v>
      </c>
      <c r="C10" s="137">
        <v>9.5</v>
      </c>
      <c r="D10" s="137">
        <v>19</v>
      </c>
      <c r="E10" s="137"/>
      <c r="F10" s="138"/>
      <c r="G10" s="138"/>
      <c r="H10" s="138"/>
      <c r="I10" s="138"/>
      <c r="J10" s="241">
        <f t="shared" si="0"/>
        <v>2.8352873698647883E-2</v>
      </c>
      <c r="K10" s="138"/>
      <c r="L10" s="137" t="s">
        <v>13</v>
      </c>
      <c r="M10" s="177"/>
    </row>
    <row r="11" spans="1:13" x14ac:dyDescent="0.35">
      <c r="A11" s="176">
        <v>10</v>
      </c>
      <c r="B11" s="137">
        <v>125</v>
      </c>
      <c r="C11" s="137">
        <v>8.5</v>
      </c>
      <c r="D11" s="137">
        <v>15</v>
      </c>
      <c r="E11" s="137"/>
      <c r="F11" s="138"/>
      <c r="G11" s="138"/>
      <c r="H11" s="138"/>
      <c r="I11" s="138"/>
      <c r="J11" s="241">
        <f t="shared" si="0"/>
        <v>1.7671458676442587E-2</v>
      </c>
      <c r="K11" s="138"/>
      <c r="L11" s="137" t="s">
        <v>10</v>
      </c>
      <c r="M11" s="177"/>
    </row>
    <row r="12" spans="1:13" x14ac:dyDescent="0.35">
      <c r="A12" s="176">
        <v>11</v>
      </c>
      <c r="B12" s="137">
        <v>125</v>
      </c>
      <c r="C12" s="137">
        <v>10.5</v>
      </c>
      <c r="D12" s="137"/>
      <c r="E12" s="137">
        <v>9</v>
      </c>
      <c r="F12" s="138">
        <v>20</v>
      </c>
      <c r="G12" s="138"/>
      <c r="H12" s="138"/>
      <c r="I12" s="138"/>
      <c r="J12" s="241">
        <f t="shared" si="0"/>
        <v>3.7777651659417266E-2</v>
      </c>
      <c r="K12" s="138"/>
      <c r="L12" s="137" t="s">
        <v>12</v>
      </c>
      <c r="M12" s="177"/>
    </row>
    <row r="13" spans="1:13" x14ac:dyDescent="0.35">
      <c r="A13" s="176">
        <v>12</v>
      </c>
      <c r="B13" s="137">
        <v>125</v>
      </c>
      <c r="C13" s="137">
        <v>9.5</v>
      </c>
      <c r="D13" s="137"/>
      <c r="E13" s="137">
        <v>16</v>
      </c>
      <c r="F13" s="138">
        <v>12</v>
      </c>
      <c r="G13" s="138"/>
      <c r="H13" s="138"/>
      <c r="I13" s="138"/>
      <c r="J13" s="241">
        <f t="shared" si="0"/>
        <v>3.1415926535897934E-2</v>
      </c>
      <c r="K13" s="138"/>
      <c r="L13" s="137" t="s">
        <v>10</v>
      </c>
      <c r="M13" s="177"/>
    </row>
    <row r="14" spans="1:13" x14ac:dyDescent="0.35">
      <c r="A14" s="176">
        <v>13</v>
      </c>
      <c r="B14" s="137">
        <v>125</v>
      </c>
      <c r="C14" s="137">
        <v>9.5</v>
      </c>
      <c r="D14" s="137">
        <v>18</v>
      </c>
      <c r="E14" s="137"/>
      <c r="F14" s="138"/>
      <c r="G14" s="138"/>
      <c r="H14" s="138"/>
      <c r="I14" s="138"/>
      <c r="J14" s="241">
        <f t="shared" si="0"/>
        <v>2.5446900494077322E-2</v>
      </c>
      <c r="K14" s="138"/>
      <c r="L14" s="137" t="s">
        <v>13</v>
      </c>
      <c r="M14" s="177"/>
    </row>
    <row r="15" spans="1:13" x14ac:dyDescent="0.35">
      <c r="A15" s="176">
        <v>14</v>
      </c>
      <c r="B15" s="137">
        <v>125</v>
      </c>
      <c r="C15" s="137">
        <v>6.5</v>
      </c>
      <c r="D15" s="137">
        <v>6</v>
      </c>
      <c r="E15" s="137"/>
      <c r="F15" s="138"/>
      <c r="G15" s="138"/>
      <c r="H15" s="138"/>
      <c r="I15" s="138"/>
      <c r="J15" s="241">
        <f t="shared" si="0"/>
        <v>2.8274333882308137E-3</v>
      </c>
      <c r="K15" s="138"/>
      <c r="L15" s="137" t="s">
        <v>5</v>
      </c>
      <c r="M15" s="177"/>
    </row>
    <row r="16" spans="1:13" x14ac:dyDescent="0.35">
      <c r="A16" s="176">
        <v>15</v>
      </c>
      <c r="B16" s="137">
        <v>125</v>
      </c>
      <c r="C16" s="137">
        <v>43</v>
      </c>
      <c r="D16" s="137"/>
      <c r="E16" s="137">
        <v>18</v>
      </c>
      <c r="F16" s="138">
        <v>9.5</v>
      </c>
      <c r="G16" s="138"/>
      <c r="H16" s="138"/>
      <c r="I16" s="138"/>
      <c r="J16" s="241">
        <f t="shared" si="0"/>
        <v>3.2535118918739295E-2</v>
      </c>
      <c r="K16" s="138"/>
      <c r="L16" s="137" t="s">
        <v>10</v>
      </c>
      <c r="M16" s="177"/>
    </row>
    <row r="17" spans="1:13" x14ac:dyDescent="0.35">
      <c r="A17" s="176">
        <v>16</v>
      </c>
      <c r="B17" s="137">
        <v>125</v>
      </c>
      <c r="C17" s="137">
        <v>6.5</v>
      </c>
      <c r="D17" s="137">
        <v>6</v>
      </c>
      <c r="E17" s="137"/>
      <c r="F17" s="138"/>
      <c r="G17" s="138"/>
      <c r="H17" s="138"/>
      <c r="I17" s="138"/>
      <c r="J17" s="241">
        <f t="shared" si="0"/>
        <v>2.8274333882308137E-3</v>
      </c>
      <c r="K17" s="138"/>
      <c r="L17" s="137" t="s">
        <v>6</v>
      </c>
      <c r="M17" s="177"/>
    </row>
    <row r="18" spans="1:13" x14ac:dyDescent="0.35">
      <c r="A18" s="194">
        <v>17</v>
      </c>
      <c r="B18" s="148">
        <v>125</v>
      </c>
      <c r="C18" s="148">
        <v>9.5</v>
      </c>
      <c r="D18" s="148"/>
      <c r="E18" s="148">
        <v>10</v>
      </c>
      <c r="F18" s="147">
        <v>4</v>
      </c>
      <c r="G18" s="147">
        <v>20</v>
      </c>
      <c r="H18" s="147"/>
      <c r="I18" s="147"/>
      <c r="J18" s="243">
        <f t="shared" si="0"/>
        <v>4.0526545231308331E-2</v>
      </c>
      <c r="K18" s="147">
        <v>3</v>
      </c>
      <c r="L18" s="148" t="s">
        <v>13</v>
      </c>
      <c r="M18" s="195"/>
    </row>
    <row r="19" spans="1:13" x14ac:dyDescent="0.35">
      <c r="A19" s="176">
        <v>18</v>
      </c>
      <c r="B19" s="137">
        <v>125</v>
      </c>
      <c r="C19" s="137">
        <v>10.5</v>
      </c>
      <c r="D19" s="137"/>
      <c r="E19" s="137">
        <v>16</v>
      </c>
      <c r="F19" s="138">
        <v>14</v>
      </c>
      <c r="G19" s="138">
        <v>16</v>
      </c>
      <c r="H19" s="138">
        <v>16</v>
      </c>
      <c r="I19" s="138"/>
      <c r="J19" s="241">
        <f t="shared" si="0"/>
        <v>7.5712382951514015E-2</v>
      </c>
      <c r="K19" s="138"/>
      <c r="L19" s="137" t="s">
        <v>12</v>
      </c>
      <c r="M19" s="177"/>
    </row>
    <row r="20" spans="1:13" x14ac:dyDescent="0.35">
      <c r="A20" s="176">
        <v>19</v>
      </c>
      <c r="B20" s="137">
        <v>125</v>
      </c>
      <c r="C20" s="137">
        <v>46</v>
      </c>
      <c r="D20" s="137"/>
      <c r="E20" s="137">
        <v>10</v>
      </c>
      <c r="F20" s="138">
        <v>6</v>
      </c>
      <c r="G20" s="138"/>
      <c r="H20" s="138"/>
      <c r="I20" s="138"/>
      <c r="J20" s="241">
        <f t="shared" si="0"/>
        <v>1.0681415022205296E-2</v>
      </c>
      <c r="K20" s="138"/>
      <c r="L20" s="137" t="s">
        <v>5</v>
      </c>
      <c r="M20" s="177"/>
    </row>
    <row r="21" spans="1:13" x14ac:dyDescent="0.35">
      <c r="A21" s="176">
        <v>20</v>
      </c>
      <c r="B21" s="137">
        <v>125</v>
      </c>
      <c r="C21" s="137">
        <v>10.5</v>
      </c>
      <c r="D21" s="137">
        <v>26</v>
      </c>
      <c r="E21" s="137"/>
      <c r="F21" s="138"/>
      <c r="G21" s="138"/>
      <c r="H21" s="138"/>
      <c r="I21" s="138"/>
      <c r="J21" s="241">
        <f t="shared" si="0"/>
        <v>5.3092915845667513E-2</v>
      </c>
      <c r="K21" s="138"/>
      <c r="L21" s="137" t="s">
        <v>12</v>
      </c>
      <c r="M21" s="177"/>
    </row>
    <row r="22" spans="1:13" x14ac:dyDescent="0.35">
      <c r="A22" s="176">
        <v>21</v>
      </c>
      <c r="B22" s="137">
        <v>112</v>
      </c>
      <c r="C22" s="137">
        <v>1.7</v>
      </c>
      <c r="D22" s="137">
        <v>5</v>
      </c>
      <c r="E22" s="137"/>
      <c r="F22" s="138"/>
      <c r="G22" s="138"/>
      <c r="H22" s="138"/>
      <c r="I22" s="138"/>
      <c r="J22" s="138">
        <f>PI()*(((D22)/2)/100)^2+PI()*(((E22)/2)/100)^2+PI()*(((F22)/2)/100)^2+PI()*(((G22)/2)/100)^2+PI()*(((H22)/2)/100)^2+PI()*(((I22)/2)/100)^2</f>
        <v>1.9634954084936209E-3</v>
      </c>
      <c r="K22" s="138"/>
      <c r="L22" s="137" t="s">
        <v>6</v>
      </c>
      <c r="M22" s="177"/>
    </row>
    <row r="23" spans="1:13" x14ac:dyDescent="0.35">
      <c r="A23" s="176">
        <v>22</v>
      </c>
      <c r="B23" s="137">
        <v>125</v>
      </c>
      <c r="C23" s="137">
        <v>9.5</v>
      </c>
      <c r="D23" s="137"/>
      <c r="E23" s="137">
        <v>10</v>
      </c>
      <c r="F23" s="138">
        <v>4</v>
      </c>
      <c r="G23" s="138">
        <v>11</v>
      </c>
      <c r="H23" s="138"/>
      <c r="I23" s="138"/>
      <c r="J23" s="241">
        <f t="shared" si="0"/>
        <v>1.8613936472519525E-2</v>
      </c>
      <c r="K23" s="138"/>
      <c r="L23" s="137" t="s">
        <v>10</v>
      </c>
      <c r="M23" s="177"/>
    </row>
    <row r="24" spans="1:13" x14ac:dyDescent="0.35">
      <c r="A24" s="176">
        <v>23</v>
      </c>
      <c r="B24" s="137">
        <v>125</v>
      </c>
      <c r="C24" s="137">
        <v>10.5</v>
      </c>
      <c r="D24" s="137"/>
      <c r="E24" s="137">
        <v>5</v>
      </c>
      <c r="F24" s="138">
        <v>27</v>
      </c>
      <c r="G24" s="138"/>
      <c r="H24" s="138"/>
      <c r="I24" s="138"/>
      <c r="J24" s="241">
        <f t="shared" si="0"/>
        <v>5.9219021520167607E-2</v>
      </c>
      <c r="K24" s="138"/>
      <c r="L24" s="137" t="s">
        <v>12</v>
      </c>
      <c r="M24" s="177"/>
    </row>
    <row r="25" spans="1:13" x14ac:dyDescent="0.35">
      <c r="A25" s="176">
        <v>24</v>
      </c>
      <c r="B25" s="137">
        <v>125</v>
      </c>
      <c r="C25" s="137">
        <v>7</v>
      </c>
      <c r="D25" s="137"/>
      <c r="E25" s="137">
        <v>4</v>
      </c>
      <c r="F25" s="138">
        <v>12</v>
      </c>
      <c r="G25" s="138"/>
      <c r="H25" s="138"/>
      <c r="I25" s="138"/>
      <c r="J25" s="241">
        <f t="shared" si="0"/>
        <v>1.2566370614359171E-2</v>
      </c>
      <c r="K25" s="138"/>
      <c r="L25" s="137" t="s">
        <v>5</v>
      </c>
      <c r="M25" s="177"/>
    </row>
    <row r="26" spans="1:13" x14ac:dyDescent="0.35">
      <c r="A26" s="196">
        <v>25</v>
      </c>
      <c r="B26" s="156">
        <v>112</v>
      </c>
      <c r="C26" s="156">
        <v>1.5</v>
      </c>
      <c r="D26" s="156"/>
      <c r="E26" s="156">
        <v>6</v>
      </c>
      <c r="F26" s="149">
        <v>7</v>
      </c>
      <c r="G26" s="149"/>
      <c r="H26" s="149"/>
      <c r="I26" s="149"/>
      <c r="J26" s="149">
        <f t="shared" si="0"/>
        <v>6.6758843888783106E-3</v>
      </c>
      <c r="K26" s="149">
        <v>2</v>
      </c>
      <c r="L26" s="156" t="s">
        <v>6</v>
      </c>
      <c r="M26" s="197"/>
    </row>
    <row r="27" spans="1:13" x14ac:dyDescent="0.35">
      <c r="A27" s="176">
        <v>26</v>
      </c>
      <c r="B27" s="137">
        <v>112</v>
      </c>
      <c r="C27" s="137">
        <v>1.5</v>
      </c>
      <c r="D27" s="137">
        <v>5</v>
      </c>
      <c r="E27" s="137"/>
      <c r="F27" s="138"/>
      <c r="G27" s="138"/>
      <c r="H27" s="138"/>
      <c r="I27" s="138"/>
      <c r="J27" s="138">
        <f t="shared" si="0"/>
        <v>1.9634954084936209E-3</v>
      </c>
      <c r="K27" s="138"/>
      <c r="L27" s="137" t="s">
        <v>6</v>
      </c>
      <c r="M27" s="177"/>
    </row>
    <row r="28" spans="1:13" x14ac:dyDescent="0.35">
      <c r="A28" s="196">
        <v>27</v>
      </c>
      <c r="B28" s="156">
        <v>125</v>
      </c>
      <c r="C28" s="156">
        <v>10</v>
      </c>
      <c r="D28" s="156"/>
      <c r="E28" s="156">
        <v>15</v>
      </c>
      <c r="F28" s="149">
        <v>22</v>
      </c>
      <c r="G28" s="149"/>
      <c r="H28" s="149"/>
      <c r="I28" s="149"/>
      <c r="J28" s="242">
        <f t="shared" si="0"/>
        <v>5.5684729784879081E-2</v>
      </c>
      <c r="K28" s="149">
        <v>2</v>
      </c>
      <c r="L28" s="156" t="s">
        <v>12</v>
      </c>
      <c r="M28" s="197"/>
    </row>
    <row r="29" spans="1:13" x14ac:dyDescent="0.35">
      <c r="A29" s="176">
        <v>28</v>
      </c>
      <c r="B29" s="137">
        <v>125</v>
      </c>
      <c r="C29" s="137">
        <v>9.5</v>
      </c>
      <c r="D29" s="137">
        <v>21</v>
      </c>
      <c r="E29" s="137"/>
      <c r="F29" s="138"/>
      <c r="G29" s="138"/>
      <c r="H29" s="138"/>
      <c r="I29" s="138"/>
      <c r="J29" s="241">
        <f t="shared" si="0"/>
        <v>3.4636059005827467E-2</v>
      </c>
      <c r="K29" s="138"/>
      <c r="L29" s="137" t="s">
        <v>13</v>
      </c>
      <c r="M29" s="177"/>
    </row>
    <row r="30" spans="1:13" x14ac:dyDescent="0.35">
      <c r="A30" s="176">
        <v>29</v>
      </c>
      <c r="B30" s="137">
        <v>125</v>
      </c>
      <c r="C30" s="137">
        <v>10</v>
      </c>
      <c r="D30" s="137">
        <v>25</v>
      </c>
      <c r="E30" s="137"/>
      <c r="F30" s="138"/>
      <c r="G30" s="138"/>
      <c r="H30" s="138"/>
      <c r="I30" s="138"/>
      <c r="J30" s="241">
        <f t="shared" si="0"/>
        <v>4.9087385212340517E-2</v>
      </c>
      <c r="K30" s="138"/>
      <c r="L30" s="137" t="s">
        <v>12</v>
      </c>
      <c r="M30" s="177"/>
    </row>
    <row r="31" spans="1:13" x14ac:dyDescent="0.35">
      <c r="A31" s="181">
        <v>30</v>
      </c>
      <c r="B31" s="133">
        <v>125</v>
      </c>
      <c r="C31" s="133">
        <v>5</v>
      </c>
      <c r="D31" s="133">
        <v>8</v>
      </c>
      <c r="E31" s="133"/>
      <c r="F31" s="134"/>
      <c r="G31" s="134"/>
      <c r="H31" s="134"/>
      <c r="I31" s="134"/>
      <c r="J31" s="244">
        <f t="shared" si="0"/>
        <v>5.0265482457436689E-3</v>
      </c>
      <c r="K31" s="134">
        <v>1</v>
      </c>
      <c r="L31" s="133" t="s">
        <v>5</v>
      </c>
      <c r="M31" s="182"/>
    </row>
    <row r="32" spans="1:13" x14ac:dyDescent="0.35">
      <c r="A32" s="176">
        <v>31</v>
      </c>
      <c r="B32" s="137">
        <v>125</v>
      </c>
      <c r="C32" s="137">
        <v>3.5</v>
      </c>
      <c r="D32" s="137">
        <v>9</v>
      </c>
      <c r="E32" s="137"/>
      <c r="F32" s="138"/>
      <c r="G32" s="138"/>
      <c r="H32" s="138"/>
      <c r="I32" s="138"/>
      <c r="J32" s="241">
        <f t="shared" si="0"/>
        <v>6.3617251235193305E-3</v>
      </c>
      <c r="K32" s="138"/>
      <c r="L32" s="137" t="s">
        <v>6</v>
      </c>
      <c r="M32" s="177" t="s">
        <v>19</v>
      </c>
    </row>
    <row r="33" spans="1:13" x14ac:dyDescent="0.35">
      <c r="A33" s="176">
        <v>32</v>
      </c>
      <c r="B33" s="137">
        <v>125</v>
      </c>
      <c r="C33" s="137">
        <v>7</v>
      </c>
      <c r="D33" s="137">
        <v>13</v>
      </c>
      <c r="E33" s="137"/>
      <c r="F33" s="138"/>
      <c r="G33" s="138"/>
      <c r="H33" s="138"/>
      <c r="I33" s="138"/>
      <c r="J33" s="241">
        <f t="shared" si="0"/>
        <v>1.3273228961416878E-2</v>
      </c>
      <c r="K33" s="138"/>
      <c r="L33" s="137" t="s">
        <v>5</v>
      </c>
      <c r="M33" s="177"/>
    </row>
    <row r="34" spans="1:13" x14ac:dyDescent="0.35">
      <c r="A34" s="176">
        <v>33</v>
      </c>
      <c r="B34" s="137">
        <v>125</v>
      </c>
      <c r="C34" s="137">
        <v>11</v>
      </c>
      <c r="D34" s="137">
        <v>23</v>
      </c>
      <c r="E34" s="137"/>
      <c r="F34" s="138"/>
      <c r="G34" s="138"/>
      <c r="H34" s="138"/>
      <c r="I34" s="138"/>
      <c r="J34" s="241">
        <f t="shared" si="0"/>
        <v>4.1547562843725017E-2</v>
      </c>
      <c r="K34" s="138"/>
      <c r="L34" s="137" t="s">
        <v>12</v>
      </c>
      <c r="M34" s="177"/>
    </row>
    <row r="35" spans="1:13" x14ac:dyDescent="0.35">
      <c r="A35" s="176">
        <v>34</v>
      </c>
      <c r="B35" s="137">
        <v>125</v>
      </c>
      <c r="C35" s="137">
        <v>9.5</v>
      </c>
      <c r="D35" s="137">
        <v>21</v>
      </c>
      <c r="E35" s="137"/>
      <c r="F35" s="138"/>
      <c r="G35" s="138"/>
      <c r="H35" s="138"/>
      <c r="I35" s="138"/>
      <c r="J35" s="241">
        <f t="shared" si="0"/>
        <v>3.4636059005827467E-2</v>
      </c>
      <c r="K35" s="138"/>
      <c r="L35" s="137" t="s">
        <v>13</v>
      </c>
      <c r="M35" s="177"/>
    </row>
    <row r="36" spans="1:13" x14ac:dyDescent="0.35">
      <c r="A36" s="176">
        <v>35</v>
      </c>
      <c r="B36" s="137">
        <v>125</v>
      </c>
      <c r="C36" s="137">
        <v>7.5</v>
      </c>
      <c r="D36" s="137">
        <v>10</v>
      </c>
      <c r="E36" s="137"/>
      <c r="F36" s="138"/>
      <c r="G36" s="138"/>
      <c r="H36" s="138"/>
      <c r="I36" s="138"/>
      <c r="J36" s="241">
        <f t="shared" si="0"/>
        <v>7.8539816339744835E-3</v>
      </c>
      <c r="K36" s="138"/>
      <c r="L36" s="137" t="s">
        <v>5</v>
      </c>
      <c r="M36" s="177"/>
    </row>
    <row r="37" spans="1:13" x14ac:dyDescent="0.35">
      <c r="A37" s="176">
        <v>36</v>
      </c>
      <c r="B37" s="137">
        <v>43</v>
      </c>
      <c r="C37" s="137">
        <v>8.5</v>
      </c>
      <c r="D37" s="137">
        <v>15</v>
      </c>
      <c r="E37" s="137"/>
      <c r="F37" s="138"/>
      <c r="G37" s="138"/>
      <c r="H37" s="138"/>
      <c r="I37" s="138"/>
      <c r="J37" s="138">
        <f t="shared" si="0"/>
        <v>1.7671458676442587E-2</v>
      </c>
      <c r="K37" s="138"/>
      <c r="L37" s="137" t="s">
        <v>13</v>
      </c>
      <c r="M37" s="177"/>
    </row>
    <row r="38" spans="1:13" x14ac:dyDescent="0.35">
      <c r="A38" s="176">
        <v>37</v>
      </c>
      <c r="B38" s="137">
        <v>23</v>
      </c>
      <c r="C38" s="137">
        <v>6</v>
      </c>
      <c r="D38" s="137"/>
      <c r="E38" s="137">
        <v>5</v>
      </c>
      <c r="F38" s="138">
        <v>5</v>
      </c>
      <c r="G38" s="138"/>
      <c r="H38" s="138"/>
      <c r="I38" s="138"/>
      <c r="J38" s="138">
        <f t="shared" si="0"/>
        <v>3.9269908169872417E-3</v>
      </c>
      <c r="K38" s="138"/>
      <c r="L38" s="137" t="s">
        <v>13</v>
      </c>
      <c r="M38" s="177" t="s">
        <v>20</v>
      </c>
    </row>
    <row r="39" spans="1:13" x14ac:dyDescent="0.35">
      <c r="A39" s="176">
        <v>38</v>
      </c>
      <c r="B39" s="137">
        <v>125</v>
      </c>
      <c r="C39" s="137">
        <v>6</v>
      </c>
      <c r="D39" s="137">
        <v>8</v>
      </c>
      <c r="E39" s="137"/>
      <c r="F39" s="138"/>
      <c r="G39" s="138"/>
      <c r="H39" s="138"/>
      <c r="I39" s="138"/>
      <c r="J39" s="241">
        <f t="shared" si="0"/>
        <v>5.0265482457436689E-3</v>
      </c>
      <c r="K39" s="138"/>
      <c r="L39" s="137" t="s">
        <v>6</v>
      </c>
      <c r="M39" s="177"/>
    </row>
    <row r="40" spans="1:13" x14ac:dyDescent="0.35">
      <c r="A40" s="176">
        <v>39</v>
      </c>
      <c r="B40" s="137">
        <v>125</v>
      </c>
      <c r="C40" s="137">
        <v>11.5</v>
      </c>
      <c r="D40" s="137"/>
      <c r="E40" s="137">
        <v>9</v>
      </c>
      <c r="F40" s="138">
        <v>23</v>
      </c>
      <c r="G40" s="138"/>
      <c r="H40" s="138"/>
      <c r="I40" s="138"/>
      <c r="J40" s="241">
        <f t="shared" si="0"/>
        <v>4.7909287967244349E-2</v>
      </c>
      <c r="K40" s="138"/>
      <c r="L40" s="137" t="s">
        <v>12</v>
      </c>
      <c r="M40" s="177"/>
    </row>
    <row r="41" spans="1:13" x14ac:dyDescent="0.35">
      <c r="A41" s="176">
        <v>40</v>
      </c>
      <c r="B41" s="137">
        <v>43</v>
      </c>
      <c r="C41" s="137">
        <v>9</v>
      </c>
      <c r="D41" s="137">
        <v>14</v>
      </c>
      <c r="E41" s="137"/>
      <c r="F41" s="138"/>
      <c r="G41" s="138"/>
      <c r="H41" s="138"/>
      <c r="I41" s="138"/>
      <c r="J41" s="138">
        <f t="shared" si="0"/>
        <v>1.5393804002589988E-2</v>
      </c>
      <c r="K41" s="138"/>
      <c r="L41" s="137" t="s">
        <v>10</v>
      </c>
      <c r="M41" s="177"/>
    </row>
    <row r="42" spans="1:13" x14ac:dyDescent="0.35">
      <c r="A42" s="176">
        <v>41</v>
      </c>
      <c r="B42" s="137">
        <v>125</v>
      </c>
      <c r="C42" s="137">
        <v>10.5</v>
      </c>
      <c r="D42" s="137">
        <v>26</v>
      </c>
      <c r="E42" s="137"/>
      <c r="F42" s="138"/>
      <c r="G42" s="138"/>
      <c r="H42" s="138"/>
      <c r="I42" s="138"/>
      <c r="J42" s="241">
        <f t="shared" si="0"/>
        <v>5.3092915845667513E-2</v>
      </c>
      <c r="K42" s="138"/>
      <c r="L42" s="137" t="s">
        <v>12</v>
      </c>
      <c r="M42" s="177"/>
    </row>
    <row r="43" spans="1:13" x14ac:dyDescent="0.35">
      <c r="A43" s="176">
        <v>42</v>
      </c>
      <c r="B43" s="137">
        <v>125</v>
      </c>
      <c r="C43" s="137">
        <v>6</v>
      </c>
      <c r="D43" s="137">
        <v>8</v>
      </c>
      <c r="E43" s="137"/>
      <c r="F43" s="138"/>
      <c r="G43" s="138"/>
      <c r="H43" s="138"/>
      <c r="I43" s="138"/>
      <c r="J43" s="241">
        <f t="shared" si="0"/>
        <v>5.0265482457436689E-3</v>
      </c>
      <c r="K43" s="138"/>
      <c r="L43" s="137" t="s">
        <v>6</v>
      </c>
      <c r="M43" s="177" t="s">
        <v>16</v>
      </c>
    </row>
    <row r="44" spans="1:13" ht="15" thickBot="1" x14ac:dyDescent="0.4">
      <c r="A44" s="178">
        <v>43</v>
      </c>
      <c r="B44" s="179">
        <v>125</v>
      </c>
      <c r="C44" s="179">
        <v>7</v>
      </c>
      <c r="D44" s="179">
        <v>11</v>
      </c>
      <c r="E44" s="179"/>
      <c r="F44" s="191"/>
      <c r="G44" s="191"/>
      <c r="H44" s="191"/>
      <c r="I44" s="191"/>
      <c r="J44" s="205">
        <f t="shared" si="0"/>
        <v>9.5033177771091243E-3</v>
      </c>
      <c r="K44" s="191"/>
      <c r="L44" s="179" t="s">
        <v>5</v>
      </c>
      <c r="M44" s="180"/>
    </row>
    <row r="45" spans="1:13" x14ac:dyDescent="0.35">
      <c r="A45" s="229">
        <f>SUBTOTAL(103,Tabla8[número de árboles])</f>
        <v>43</v>
      </c>
      <c r="B45" s="35" t="s">
        <v>146</v>
      </c>
      <c r="C45" s="235">
        <f>SUBTOTAL(101,Tabla8[altura])</f>
        <v>9.9116279069767437</v>
      </c>
      <c r="D45" s="235">
        <f>SUBTOTAL(101,Tabla8[diámetro])</f>
        <v>14.84</v>
      </c>
      <c r="E45" s="37">
        <f>SUBTOTAL(101,Tabla8[Hermanado1])</f>
        <v>12.222222222222221</v>
      </c>
      <c r="F45" s="37">
        <f>SUBTOTAL(101,Tabla8[Hermanado2])</f>
        <v>12.083333333333334</v>
      </c>
      <c r="G45" s="200">
        <f>SUBTOTAL(101,Tabla8[Hermanado3])</f>
        <v>16</v>
      </c>
      <c r="H45" s="201">
        <f>SUBTOTAL(101,Tabla8[Hermanado4])</f>
        <v>16</v>
      </c>
      <c r="I45" s="153" t="e">
        <f>SUBTOTAL(101,Tabla8[Hermanado5])</f>
        <v>#DIV/0!</v>
      </c>
      <c r="J45" s="199">
        <f>SUBTOTAL(109,Tabla8[AB m2])</f>
        <v>1.1455228562692632</v>
      </c>
      <c r="K45" s="37">
        <f>S27</f>
        <v>0</v>
      </c>
      <c r="L45" s="37"/>
      <c r="M45" s="63">
        <f>SUBTOTAL(103,Tabla8[observaciones])</f>
        <v>4</v>
      </c>
    </row>
    <row r="46" spans="1:13" x14ac:dyDescent="0.35">
      <c r="A46" s="229"/>
      <c r="B46" s="229"/>
      <c r="C46" s="235"/>
      <c r="D46" s="235"/>
      <c r="E46" s="300"/>
      <c r="F46" s="300"/>
      <c r="G46" s="301"/>
      <c r="H46" s="235"/>
      <c r="I46" s="145"/>
      <c r="J46" s="145"/>
      <c r="K46" s="302"/>
      <c r="L46" s="302"/>
      <c r="M46" s="75"/>
    </row>
    <row r="47" spans="1:13" x14ac:dyDescent="0.35">
      <c r="A47" s="229"/>
      <c r="B47" s="229"/>
      <c r="C47" s="235"/>
      <c r="D47" s="235"/>
      <c r="E47" s="300"/>
      <c r="F47" s="300"/>
      <c r="G47" s="301"/>
      <c r="H47" s="235"/>
      <c r="I47" s="145"/>
      <c r="J47" s="145"/>
      <c r="K47" s="302"/>
      <c r="L47" s="302"/>
      <c r="M47" s="75"/>
    </row>
    <row r="48" spans="1:13" x14ac:dyDescent="0.35">
      <c r="A48" s="229"/>
      <c r="B48" s="229"/>
      <c r="C48" s="235"/>
      <c r="D48" s="235"/>
      <c r="E48" s="300"/>
      <c r="F48" s="300"/>
      <c r="G48" s="301"/>
      <c r="H48" s="235"/>
      <c r="I48" s="145"/>
      <c r="J48" s="145"/>
      <c r="K48" s="302"/>
      <c r="L48" s="302"/>
      <c r="M48" s="75"/>
    </row>
    <row r="49" spans="1:13" x14ac:dyDescent="0.35">
      <c r="A49" s="229"/>
      <c r="B49" s="229"/>
      <c r="C49" s="235"/>
      <c r="D49" s="235"/>
      <c r="E49" s="300"/>
      <c r="F49" s="300"/>
      <c r="G49" s="301"/>
      <c r="H49" s="235"/>
      <c r="I49" s="145"/>
      <c r="J49" s="145"/>
      <c r="K49" s="302"/>
      <c r="L49" s="302"/>
      <c r="M49" s="75"/>
    </row>
    <row r="50" spans="1:13" x14ac:dyDescent="0.35">
      <c r="A50" s="229"/>
      <c r="B50" s="229"/>
      <c r="C50" s="235"/>
      <c r="D50" s="235"/>
      <c r="E50" s="300"/>
      <c r="F50" s="300"/>
      <c r="G50" s="301"/>
      <c r="H50" s="235"/>
      <c r="I50" s="145"/>
      <c r="J50" s="145"/>
      <c r="K50" s="302"/>
      <c r="L50" s="302"/>
      <c r="M50" s="75"/>
    </row>
    <row r="51" spans="1:13" x14ac:dyDescent="0.35">
      <c r="A51" s="229"/>
      <c r="B51" s="229"/>
      <c r="C51" s="235"/>
      <c r="D51" s="235"/>
      <c r="E51" s="300"/>
      <c r="F51" s="300"/>
      <c r="G51" s="301"/>
      <c r="H51" s="235"/>
      <c r="I51" s="145"/>
      <c r="J51" s="145"/>
      <c r="K51" s="302"/>
      <c r="L51" s="302"/>
      <c r="M51" s="75"/>
    </row>
    <row r="52" spans="1:13" x14ac:dyDescent="0.35">
      <c r="A52" s="229"/>
      <c r="B52" s="229"/>
      <c r="C52" s="235"/>
      <c r="D52" s="235"/>
      <c r="E52" s="300"/>
      <c r="F52" s="300"/>
      <c r="G52" s="301"/>
      <c r="H52" s="235"/>
      <c r="I52" s="145"/>
      <c r="J52" s="145"/>
      <c r="K52" s="302"/>
      <c r="L52" s="302"/>
      <c r="M52" s="75"/>
    </row>
    <row r="53" spans="1:13" x14ac:dyDescent="0.35">
      <c r="A53" s="229"/>
      <c r="B53" s="229"/>
      <c r="C53" s="235"/>
      <c r="D53" s="235"/>
      <c r="E53" s="300"/>
      <c r="F53" s="300"/>
      <c r="G53" s="301"/>
      <c r="H53" s="235"/>
      <c r="I53" s="145"/>
      <c r="J53" s="145"/>
      <c r="K53" s="302"/>
      <c r="L53" s="302"/>
      <c r="M53" s="75"/>
    </row>
    <row r="54" spans="1:13" x14ac:dyDescent="0.35">
      <c r="A54" s="229"/>
      <c r="B54" s="229"/>
      <c r="C54" s="235"/>
      <c r="D54" s="235"/>
      <c r="E54" s="300"/>
      <c r="F54" s="300"/>
      <c r="G54" s="301"/>
      <c r="H54" s="235"/>
      <c r="I54" s="145"/>
      <c r="J54" s="145"/>
      <c r="K54" s="302"/>
      <c r="L54" s="302"/>
      <c r="M54" s="75"/>
    </row>
    <row r="55" spans="1:13" x14ac:dyDescent="0.35">
      <c r="A55" s="229"/>
      <c r="B55" s="229"/>
      <c r="C55" s="235"/>
      <c r="D55" s="235"/>
      <c r="E55" s="300"/>
      <c r="F55" s="300"/>
      <c r="G55" s="301"/>
      <c r="H55" s="235"/>
      <c r="I55" s="145"/>
      <c r="J55" s="145"/>
      <c r="K55" s="302"/>
      <c r="L55" s="302"/>
      <c r="M55" s="75"/>
    </row>
    <row r="56" spans="1:13" x14ac:dyDescent="0.35">
      <c r="A56" s="229"/>
      <c r="B56" s="229"/>
      <c r="C56" s="235"/>
      <c r="D56" s="235"/>
      <c r="E56" s="300"/>
      <c r="F56" s="300"/>
      <c r="G56" s="301"/>
      <c r="H56" s="235"/>
      <c r="I56" s="145"/>
      <c r="J56" s="145"/>
      <c r="K56" s="302"/>
      <c r="L56" s="302"/>
      <c r="M56" s="75"/>
    </row>
    <row r="57" spans="1:13" x14ac:dyDescent="0.35">
      <c r="A57" s="229"/>
      <c r="B57" s="229"/>
      <c r="C57" s="235"/>
      <c r="D57" s="235"/>
      <c r="E57" s="300"/>
      <c r="F57" s="300"/>
      <c r="G57" s="301"/>
      <c r="H57" s="235"/>
      <c r="I57" s="145"/>
      <c r="J57" s="145"/>
      <c r="K57" s="302"/>
      <c r="L57" s="302"/>
      <c r="M57" s="75"/>
    </row>
    <row r="58" spans="1:13" x14ac:dyDescent="0.35">
      <c r="A58" s="229"/>
      <c r="B58" s="229"/>
      <c r="C58" s="235"/>
      <c r="D58" s="235"/>
      <c r="E58" s="300"/>
      <c r="F58" s="300"/>
      <c r="G58" s="301"/>
      <c r="H58" s="235"/>
      <c r="I58" s="145"/>
      <c r="J58" s="145"/>
      <c r="K58" s="302"/>
      <c r="L58" s="302"/>
      <c r="M58" s="75"/>
    </row>
    <row r="59" spans="1:13" x14ac:dyDescent="0.35">
      <c r="A59" s="229"/>
      <c r="B59" s="229"/>
      <c r="C59" s="235"/>
      <c r="D59" s="235"/>
      <c r="E59" s="300"/>
      <c r="F59" s="300"/>
      <c r="G59" s="301"/>
      <c r="H59" s="235"/>
      <c r="I59" s="145"/>
      <c r="J59" s="145"/>
      <c r="K59" s="302"/>
      <c r="L59" s="302"/>
      <c r="M59" s="75"/>
    </row>
    <row r="60" spans="1:13" x14ac:dyDescent="0.35">
      <c r="A60" s="229"/>
      <c r="B60" s="229"/>
      <c r="C60" s="235"/>
      <c r="D60" s="235"/>
      <c r="E60" s="300"/>
      <c r="F60" s="300"/>
      <c r="G60" s="301"/>
      <c r="H60" s="235"/>
      <c r="I60" s="145"/>
      <c r="J60" s="145"/>
      <c r="K60" s="302"/>
      <c r="L60" s="302"/>
      <c r="M60" s="75"/>
    </row>
    <row r="61" spans="1:13" x14ac:dyDescent="0.35">
      <c r="A61" s="229"/>
      <c r="B61" s="229"/>
      <c r="C61" s="235"/>
      <c r="D61" s="235"/>
      <c r="E61" s="300"/>
      <c r="F61" s="300"/>
      <c r="G61" s="301"/>
      <c r="H61" s="235"/>
      <c r="I61" s="145"/>
      <c r="J61" s="145"/>
      <c r="K61" s="302"/>
      <c r="L61" s="302"/>
      <c r="M61" s="75"/>
    </row>
    <row r="62" spans="1:13" x14ac:dyDescent="0.35">
      <c r="A62" s="229"/>
      <c r="B62" s="229"/>
      <c r="C62" s="235"/>
      <c r="D62" s="235"/>
      <c r="E62" s="300"/>
      <c r="F62" s="300"/>
      <c r="G62" s="301"/>
      <c r="H62" s="235"/>
      <c r="I62" s="145"/>
      <c r="J62" s="145"/>
      <c r="K62" s="302"/>
      <c r="L62" s="302"/>
      <c r="M62" s="75"/>
    </row>
    <row r="63" spans="1:13" x14ac:dyDescent="0.35">
      <c r="A63" s="229"/>
      <c r="B63" s="229"/>
      <c r="C63" s="235"/>
      <c r="D63" s="235"/>
      <c r="E63" s="300"/>
      <c r="F63" s="300"/>
      <c r="G63" s="301"/>
      <c r="H63" s="235"/>
      <c r="I63" s="145"/>
      <c r="J63" s="145"/>
      <c r="K63" s="302"/>
      <c r="L63" s="302"/>
      <c r="M63" s="75"/>
    </row>
    <row r="64" spans="1:13" x14ac:dyDescent="0.35">
      <c r="A64" s="229"/>
      <c r="B64" s="229"/>
      <c r="C64" s="235"/>
      <c r="D64" s="235"/>
      <c r="E64" s="300"/>
      <c r="F64" s="300"/>
      <c r="G64" s="301"/>
      <c r="H64" s="235"/>
      <c r="I64" s="145"/>
      <c r="J64" s="145"/>
      <c r="K64" s="302"/>
      <c r="L64" s="302"/>
      <c r="M64" s="75"/>
    </row>
    <row r="65" spans="1:13" x14ac:dyDescent="0.35">
      <c r="A65" s="229"/>
      <c r="B65" s="229"/>
      <c r="C65" s="235"/>
      <c r="D65" s="235"/>
      <c r="E65" s="300"/>
      <c r="F65" s="300"/>
      <c r="G65" s="301"/>
      <c r="H65" s="235"/>
      <c r="I65" s="145"/>
      <c r="J65" s="145"/>
      <c r="K65" s="302"/>
      <c r="L65" s="302"/>
      <c r="M65" s="75"/>
    </row>
    <row r="66" spans="1:13" x14ac:dyDescent="0.35">
      <c r="A66" s="229"/>
      <c r="B66" s="229"/>
      <c r="C66" s="235"/>
      <c r="D66" s="235"/>
      <c r="E66" s="300"/>
      <c r="F66" s="300"/>
      <c r="G66" s="301"/>
      <c r="H66" s="235"/>
      <c r="I66" s="145"/>
      <c r="J66" s="145"/>
      <c r="K66" s="302"/>
      <c r="L66" s="302"/>
      <c r="M66" s="75"/>
    </row>
    <row r="67" spans="1:13" x14ac:dyDescent="0.35">
      <c r="A67" s="229"/>
      <c r="B67" s="229"/>
      <c r="C67" s="235"/>
      <c r="D67" s="235"/>
      <c r="E67" s="300"/>
      <c r="F67" s="300"/>
      <c r="G67" s="301"/>
      <c r="H67" s="235"/>
      <c r="I67" s="145"/>
      <c r="J67" s="145"/>
      <c r="K67" s="302"/>
      <c r="L67" s="302"/>
      <c r="M67" s="75"/>
    </row>
    <row r="68" spans="1:13" x14ac:dyDescent="0.35">
      <c r="A68" s="229"/>
      <c r="B68" s="229"/>
      <c r="C68" s="235"/>
      <c r="D68" s="235"/>
      <c r="E68" s="300"/>
      <c r="F68" s="300"/>
      <c r="G68" s="301"/>
      <c r="H68" s="235"/>
      <c r="I68" s="145"/>
      <c r="J68" s="145"/>
      <c r="K68" s="302"/>
      <c r="L68" s="302"/>
      <c r="M68" s="75"/>
    </row>
    <row r="69" spans="1:13" ht="15" thickBot="1" x14ac:dyDescent="0.4">
      <c r="A69" s="229"/>
      <c r="B69" s="229"/>
      <c r="C69" s="235"/>
      <c r="D69" s="235"/>
      <c r="E69" s="300"/>
      <c r="F69" s="300"/>
      <c r="G69" s="301"/>
      <c r="H69" s="235"/>
      <c r="I69" s="145"/>
      <c r="J69" s="145"/>
      <c r="K69" s="302"/>
      <c r="L69" s="302"/>
      <c r="M69" s="75"/>
    </row>
    <row r="70" spans="1:13" ht="58.5" thickBot="1" x14ac:dyDescent="0.4">
      <c r="A70" s="293" t="s">
        <v>232</v>
      </c>
      <c r="B70" s="294" t="s">
        <v>216</v>
      </c>
      <c r="C70" s="295" t="s">
        <v>237</v>
      </c>
      <c r="D70" s="294" t="s">
        <v>218</v>
      </c>
      <c r="E70" s="294" t="s">
        <v>219</v>
      </c>
      <c r="F70" s="294" t="s">
        <v>230</v>
      </c>
      <c r="G70" s="294" t="s">
        <v>224</v>
      </c>
      <c r="H70" s="294" t="s">
        <v>226</v>
      </c>
      <c r="I70" s="294" t="s">
        <v>227</v>
      </c>
      <c r="J70" s="296"/>
      <c r="K70" s="296"/>
    </row>
    <row r="71" spans="1:13" x14ac:dyDescent="0.35">
      <c r="A71" s="292">
        <v>125</v>
      </c>
      <c r="B71" s="290"/>
      <c r="C71" s="290"/>
      <c r="D71" s="290"/>
      <c r="E71" s="290"/>
      <c r="F71" s="290"/>
      <c r="G71" s="290"/>
      <c r="H71" s="290"/>
      <c r="I71" s="290"/>
      <c r="J71" s="145"/>
      <c r="K71" s="145"/>
    </row>
    <row r="72" spans="1:13" x14ac:dyDescent="0.35">
      <c r="A72" s="3">
        <v>130</v>
      </c>
      <c r="B72" s="249">
        <f>Tabla8[[#Totals],[AB m2]]*C85/C84</f>
        <v>0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145"/>
      <c r="K72" s="145"/>
    </row>
    <row r="73" spans="1:13" x14ac:dyDescent="0.35">
      <c r="A73" s="3">
        <v>112</v>
      </c>
      <c r="B73" s="2"/>
      <c r="C73" s="2"/>
      <c r="D73" s="2"/>
      <c r="E73" s="2"/>
      <c r="F73" s="2"/>
      <c r="G73" s="2"/>
      <c r="H73" s="2"/>
      <c r="I73" s="2"/>
      <c r="J73" s="145"/>
      <c r="K73" s="145"/>
    </row>
    <row r="74" spans="1:13" ht="15" thickBot="1" x14ac:dyDescent="0.4">
      <c r="A74" s="3">
        <v>46</v>
      </c>
      <c r="B74" s="2"/>
      <c r="C74" s="2"/>
      <c r="D74" s="2"/>
      <c r="E74" s="2"/>
      <c r="F74" s="2"/>
      <c r="G74" s="2"/>
      <c r="H74" s="2"/>
      <c r="I74" s="2"/>
    </row>
    <row r="75" spans="1:13" ht="15" thickBot="1" x14ac:dyDescent="0.4">
      <c r="A75" s="3">
        <v>43</v>
      </c>
      <c r="B75" s="2"/>
      <c r="C75" s="2"/>
      <c r="D75" s="2"/>
      <c r="E75" s="2"/>
      <c r="F75" s="2"/>
      <c r="G75" s="2"/>
      <c r="H75" s="2"/>
      <c r="I75" s="2"/>
      <c r="J75" s="232"/>
      <c r="K75" s="233"/>
    </row>
    <row r="76" spans="1:13" ht="15" thickBot="1" x14ac:dyDescent="0.4">
      <c r="A76" s="3">
        <v>23</v>
      </c>
      <c r="B76" s="4"/>
      <c r="C76" s="4"/>
      <c r="D76" s="4"/>
      <c r="E76" s="4"/>
      <c r="F76" s="4"/>
      <c r="G76" s="4"/>
      <c r="H76" s="4"/>
      <c r="I76" s="4"/>
    </row>
    <row r="77" spans="1:13" ht="15" thickBot="1" x14ac:dyDescent="0.4">
      <c r="A77" s="19" t="s">
        <v>63</v>
      </c>
      <c r="B77" s="4"/>
      <c r="C77" s="4"/>
      <c r="D77" s="4"/>
      <c r="E77" s="4"/>
      <c r="F77" s="4"/>
      <c r="G77" s="4"/>
      <c r="H77" s="4"/>
      <c r="I77" s="4"/>
      <c r="J77" s="232"/>
      <c r="K77" s="233"/>
    </row>
    <row r="78" spans="1:13" ht="15" thickBot="1" x14ac:dyDescent="0.4">
      <c r="A78" s="19" t="s">
        <v>63</v>
      </c>
    </row>
    <row r="79" spans="1:13" ht="15" thickBot="1" x14ac:dyDescent="0.4">
      <c r="A79" s="365" t="s">
        <v>245</v>
      </c>
      <c r="B79" s="366"/>
      <c r="C79" s="366"/>
      <c r="D79" s="366"/>
      <c r="E79" s="366"/>
      <c r="F79" s="366"/>
      <c r="G79" s="366"/>
      <c r="H79" s="366"/>
      <c r="I79" s="366"/>
      <c r="J79" s="366"/>
      <c r="K79" s="367"/>
    </row>
    <row r="80" spans="1:13" ht="15" thickBot="1" x14ac:dyDescent="0.4"/>
    <row r="81" spans="1:10" ht="15" thickBot="1" x14ac:dyDescent="0.4">
      <c r="A81" t="s">
        <v>128</v>
      </c>
      <c r="B81">
        <f>COUNT(Tabla8[[diámetro]:[Hermanado5]])</f>
        <v>66</v>
      </c>
      <c r="C81">
        <f>25*25</f>
        <v>625</v>
      </c>
      <c r="E81" s="55" t="s">
        <v>29</v>
      </c>
      <c r="F81" s="56"/>
      <c r="G81" s="29" t="s">
        <v>65</v>
      </c>
      <c r="H81" s="30"/>
      <c r="I81" s="28" t="s">
        <v>4</v>
      </c>
      <c r="J81" s="30"/>
    </row>
    <row r="82" spans="1:10" ht="15" thickBot="1" x14ac:dyDescent="0.4">
      <c r="B82">
        <f>B81*C82/C81</f>
        <v>1056</v>
      </c>
      <c r="C82">
        <v>10000</v>
      </c>
      <c r="E82" s="52" t="s">
        <v>30</v>
      </c>
      <c r="F82" s="53" t="s">
        <v>31</v>
      </c>
      <c r="G82" s="43">
        <v>125</v>
      </c>
      <c r="H82" s="21" t="s">
        <v>23</v>
      </c>
      <c r="I82" s="13" t="s">
        <v>6</v>
      </c>
      <c r="J82" s="14" t="s">
        <v>58</v>
      </c>
    </row>
    <row r="83" spans="1:10" ht="21.5" thickBot="1" x14ac:dyDescent="0.55000000000000004">
      <c r="A83" s="27" t="s">
        <v>71</v>
      </c>
      <c r="B83" s="49" t="s">
        <v>28</v>
      </c>
      <c r="C83" s="10" t="s">
        <v>52</v>
      </c>
      <c r="D83" s="51" t="s">
        <v>147</v>
      </c>
      <c r="E83" s="48" t="s">
        <v>32</v>
      </c>
      <c r="F83" s="46" t="s">
        <v>33</v>
      </c>
      <c r="G83" s="44">
        <v>130</v>
      </c>
      <c r="H83" s="23" t="s">
        <v>25</v>
      </c>
      <c r="I83" s="15" t="s">
        <v>5</v>
      </c>
      <c r="J83" s="16" t="s">
        <v>59</v>
      </c>
    </row>
    <row r="84" spans="1:10" ht="15" thickBot="1" x14ac:dyDescent="0.4">
      <c r="A84" s="10"/>
      <c r="B84" s="12">
        <v>2</v>
      </c>
      <c r="C84" s="12">
        <v>1</v>
      </c>
      <c r="D84" s="10">
        <f>B82</f>
        <v>1056</v>
      </c>
      <c r="E84" s="48" t="s">
        <v>34</v>
      </c>
      <c r="F84" s="46" t="s">
        <v>35</v>
      </c>
      <c r="G84" s="44">
        <v>46</v>
      </c>
      <c r="H84" s="23" t="s">
        <v>26</v>
      </c>
      <c r="I84" s="15" t="s">
        <v>13</v>
      </c>
      <c r="J84" s="16" t="s">
        <v>60</v>
      </c>
    </row>
    <row r="85" spans="1:10" x14ac:dyDescent="0.35">
      <c r="E85" s="45" t="s">
        <v>36</v>
      </c>
      <c r="F85" s="58" t="s">
        <v>37</v>
      </c>
      <c r="G85" s="44">
        <v>43</v>
      </c>
      <c r="H85" s="23" t="s">
        <v>27</v>
      </c>
      <c r="I85" s="15" t="s">
        <v>10</v>
      </c>
      <c r="J85" s="16" t="s">
        <v>61</v>
      </c>
    </row>
    <row r="86" spans="1:10" ht="15" thickBot="1" x14ac:dyDescent="0.4">
      <c r="E86" s="45" t="s">
        <v>16</v>
      </c>
      <c r="F86" s="46" t="s">
        <v>38</v>
      </c>
      <c r="G86" s="44">
        <v>23</v>
      </c>
      <c r="H86" s="23" t="s">
        <v>22</v>
      </c>
      <c r="I86" s="17" t="s">
        <v>12</v>
      </c>
      <c r="J86" s="18" t="s">
        <v>62</v>
      </c>
    </row>
    <row r="87" spans="1:10" x14ac:dyDescent="0.35">
      <c r="E87" s="45" t="s">
        <v>39</v>
      </c>
      <c r="F87" s="46" t="s">
        <v>40</v>
      </c>
      <c r="G87" s="44">
        <v>73</v>
      </c>
      <c r="H87" s="23" t="s">
        <v>24</v>
      </c>
    </row>
    <row r="88" spans="1:10" x14ac:dyDescent="0.35">
      <c r="E88" s="45" t="s">
        <v>41</v>
      </c>
      <c r="F88" s="46" t="s">
        <v>42</v>
      </c>
      <c r="G88" s="44">
        <v>87</v>
      </c>
      <c r="H88" s="23" t="s">
        <v>47</v>
      </c>
    </row>
    <row r="89" spans="1:10" x14ac:dyDescent="0.35">
      <c r="E89" s="45" t="s">
        <v>43</v>
      </c>
      <c r="F89" s="46" t="s">
        <v>44</v>
      </c>
      <c r="G89" s="44">
        <v>3</v>
      </c>
      <c r="H89" s="23" t="s">
        <v>48</v>
      </c>
    </row>
    <row r="90" spans="1:10" x14ac:dyDescent="0.35">
      <c r="E90" s="45" t="s">
        <v>45</v>
      </c>
      <c r="F90" s="47" t="s">
        <v>46</v>
      </c>
      <c r="G90" s="44">
        <v>82</v>
      </c>
      <c r="H90" s="23" t="s">
        <v>50</v>
      </c>
    </row>
    <row r="91" spans="1:10" x14ac:dyDescent="0.35">
      <c r="G91" s="22">
        <v>83</v>
      </c>
      <c r="H91" s="23" t="s">
        <v>49</v>
      </c>
    </row>
    <row r="92" spans="1:10" x14ac:dyDescent="0.35">
      <c r="G92" s="22">
        <v>42</v>
      </c>
      <c r="H92" s="23" t="s">
        <v>51</v>
      </c>
    </row>
    <row r="93" spans="1:10" x14ac:dyDescent="0.35">
      <c r="G93" s="22">
        <v>112</v>
      </c>
      <c r="H93" s="23" t="s">
        <v>66</v>
      </c>
    </row>
    <row r="94" spans="1:10" ht="15" thickBot="1" x14ac:dyDescent="0.4">
      <c r="G94" s="25">
        <v>113</v>
      </c>
      <c r="H94" s="26" t="s">
        <v>67</v>
      </c>
    </row>
    <row r="95" spans="1:10" x14ac:dyDescent="0.35">
      <c r="J95" t="e">
        <f>SQRT(E101:E108)*C101:C108/#REF!</f>
        <v>#VALUE!</v>
      </c>
    </row>
    <row r="100" spans="1:10" x14ac:dyDescent="0.35">
      <c r="A100" s="1" t="s">
        <v>228</v>
      </c>
      <c r="B100" s="1" t="s">
        <v>206</v>
      </c>
      <c r="C100" s="1" t="s">
        <v>229</v>
      </c>
      <c r="D100" s="1" t="s">
        <v>142</v>
      </c>
      <c r="E100" s="1" t="s">
        <v>147</v>
      </c>
      <c r="F100" s="1" t="s">
        <v>225</v>
      </c>
      <c r="G100" s="1" t="s">
        <v>207</v>
      </c>
      <c r="H100" s="1" t="s">
        <v>231</v>
      </c>
      <c r="I100" s="1" t="s">
        <v>213</v>
      </c>
      <c r="J100" s="1" t="s">
        <v>215</v>
      </c>
    </row>
    <row r="101" spans="1:10" x14ac:dyDescent="0.35">
      <c r="A101" t="s">
        <v>212</v>
      </c>
      <c r="B101" s="3">
        <f>COUNTIF($D$1:$I$44,"&gt;=2,5")-COUNTIF($D$1:$I$44,"&gt;7,4")</f>
        <v>13</v>
      </c>
      <c r="C101" s="3">
        <v>5</v>
      </c>
      <c r="D101" s="3"/>
      <c r="E101" s="3">
        <f>(B101*10000)/625</f>
        <v>208</v>
      </c>
      <c r="F101" s="256">
        <f>(PI()/4)*(C101/100)^2</f>
        <v>1.9634954084936209E-3</v>
      </c>
      <c r="G101" s="256">
        <f>E101*F101</f>
        <v>0.40840704496667313</v>
      </c>
      <c r="H101" s="3"/>
      <c r="I101" s="3"/>
      <c r="J101" s="3"/>
    </row>
    <row r="102" spans="1:10" x14ac:dyDescent="0.35">
      <c r="A102" t="s">
        <v>211</v>
      </c>
      <c r="B102" s="3">
        <f>COUNTIF($D$1:$I$44,"&gt;=7,5")-COUNTIF($D$1:$I$44,"&gt;12,4")</f>
        <v>19</v>
      </c>
      <c r="C102" s="3">
        <v>10</v>
      </c>
      <c r="D102" s="3"/>
      <c r="E102" s="3">
        <f t="shared" ref="E102:E108" si="1">(B102*10000)/625</f>
        <v>304</v>
      </c>
      <c r="F102" s="256">
        <f t="shared" ref="F102:F108" si="2">(PI()/4)*(C102/100)^2</f>
        <v>7.8539816339744835E-3</v>
      </c>
      <c r="G102" s="256">
        <f t="shared" ref="G102:G108" si="3">E102*F102</f>
        <v>2.387610416728243</v>
      </c>
      <c r="H102" s="3"/>
      <c r="I102" s="3"/>
      <c r="J102" s="3"/>
    </row>
    <row r="103" spans="1:10" x14ac:dyDescent="0.35">
      <c r="A103" t="s">
        <v>209</v>
      </c>
      <c r="B103" s="3">
        <f>COUNTIF($D$1:$I$44,"&gt;=12,5")-COUNTIF($D$1:$I$44,"&gt;17,4")</f>
        <v>16</v>
      </c>
      <c r="C103" s="3">
        <v>15</v>
      </c>
      <c r="D103" s="3"/>
      <c r="E103" s="3">
        <f t="shared" si="1"/>
        <v>256</v>
      </c>
      <c r="F103" s="256">
        <f t="shared" si="2"/>
        <v>1.7671458676442587E-2</v>
      </c>
      <c r="G103" s="256">
        <f t="shared" si="3"/>
        <v>4.5238934211693023</v>
      </c>
      <c r="H103" s="3"/>
      <c r="I103" s="3"/>
      <c r="J103" s="3"/>
    </row>
    <row r="104" spans="1:10" x14ac:dyDescent="0.35">
      <c r="A104" t="s">
        <v>208</v>
      </c>
      <c r="B104" s="3">
        <f>COUNTIF($D$1:$I$44,"&gt;=17,5")-COUNTIF($D$1:$I$44,"&gt;22,4")</f>
        <v>12</v>
      </c>
      <c r="C104" s="3">
        <v>20</v>
      </c>
      <c r="D104" s="3"/>
      <c r="E104" s="3">
        <f t="shared" si="1"/>
        <v>192</v>
      </c>
      <c r="F104" s="256">
        <f t="shared" si="2"/>
        <v>3.1415926535897934E-2</v>
      </c>
      <c r="G104" s="256">
        <f t="shared" si="3"/>
        <v>6.0318578948924033</v>
      </c>
      <c r="H104" s="3"/>
      <c r="I104" s="3"/>
      <c r="J104" s="3"/>
    </row>
    <row r="105" spans="1:10" x14ac:dyDescent="0.35">
      <c r="A105" t="s">
        <v>210</v>
      </c>
      <c r="B105" s="3">
        <f>COUNTIF($D$1:$I$44,"&gt;=22,5")-COUNTIF($D$1:$I$44,"&gt;27,4")</f>
        <v>6</v>
      </c>
      <c r="C105" s="3">
        <v>25</v>
      </c>
      <c r="D105" s="3"/>
      <c r="E105" s="3">
        <f t="shared" si="1"/>
        <v>96</v>
      </c>
      <c r="F105" s="256">
        <f t="shared" si="2"/>
        <v>4.9087385212340517E-2</v>
      </c>
      <c r="G105" s="256">
        <f t="shared" si="3"/>
        <v>4.7123889803846897</v>
      </c>
      <c r="H105" s="3"/>
      <c r="I105" s="3"/>
      <c r="J105" s="3"/>
    </row>
    <row r="106" spans="1:10" x14ac:dyDescent="0.35">
      <c r="A106" t="s">
        <v>221</v>
      </c>
      <c r="B106" s="3">
        <f>COUNTIF($D$1:$I$44,"&gt;=27,5")-COUNTIF($D$1:$I$44,"&gt;32,4")</f>
        <v>0</v>
      </c>
      <c r="C106" s="3">
        <v>30</v>
      </c>
      <c r="D106" s="3"/>
      <c r="E106" s="3">
        <f t="shared" si="1"/>
        <v>0</v>
      </c>
      <c r="F106" s="256">
        <f t="shared" si="2"/>
        <v>7.0685834705770348E-2</v>
      </c>
      <c r="G106" s="256">
        <f t="shared" si="3"/>
        <v>0</v>
      </c>
      <c r="H106" s="3"/>
      <c r="I106" s="3"/>
      <c r="J106" s="3"/>
    </row>
    <row r="107" spans="1:10" x14ac:dyDescent="0.35">
      <c r="A107" t="s">
        <v>222</v>
      </c>
      <c r="B107" s="3">
        <f>COUNTIF($D$1:$I$44,"&gt;=32,5")-COUNTIF($D$1:$I$44,"&gt;37,4")</f>
        <v>0</v>
      </c>
      <c r="C107" s="3">
        <v>35</v>
      </c>
      <c r="D107" s="3"/>
      <c r="E107" s="3">
        <f t="shared" si="1"/>
        <v>0</v>
      </c>
      <c r="F107" s="256">
        <f t="shared" si="2"/>
        <v>9.6211275016187398E-2</v>
      </c>
      <c r="G107" s="256">
        <f t="shared" si="3"/>
        <v>0</v>
      </c>
      <c r="H107" s="3"/>
      <c r="I107" s="3"/>
      <c r="J107" s="3"/>
    </row>
    <row r="108" spans="1:10" x14ac:dyDescent="0.35">
      <c r="A108" t="s">
        <v>223</v>
      </c>
      <c r="B108" s="3">
        <f>COUNTIF($D$1:$I$44,"&gt;=37,5")-COUNTIF($D$1:$I$44,"&gt;42,4")</f>
        <v>0</v>
      </c>
      <c r="C108" s="3">
        <v>40</v>
      </c>
      <c r="D108" s="3"/>
      <c r="E108" s="3">
        <f t="shared" si="1"/>
        <v>0</v>
      </c>
      <c r="F108" s="256">
        <f t="shared" si="2"/>
        <v>0.12566370614359174</v>
      </c>
      <c r="G108" s="256">
        <f t="shared" si="3"/>
        <v>0</v>
      </c>
      <c r="H108" s="3"/>
      <c r="I108" s="3"/>
      <c r="J108" s="3"/>
    </row>
    <row r="109" spans="1:10" x14ac:dyDescent="0.35">
      <c r="A109" s="198" t="s">
        <v>146</v>
      </c>
      <c r="B109" s="229">
        <f>SUBTOTAL(109,Tabla5[NÚMERO DE PIES])</f>
        <v>66</v>
      </c>
      <c r="C109" s="229"/>
      <c r="D109" s="229"/>
      <c r="E109" s="229">
        <f>SUBTOTAL(109,Tabla5[pies/ha])</f>
        <v>1056</v>
      </c>
      <c r="F109" s="262"/>
      <c r="G109" s="264">
        <f>SUBTOTAL(109,Tabla5[G (m2/ha.)])</f>
        <v>18.064157758141313</v>
      </c>
      <c r="H109" s="229"/>
      <c r="I109" s="229"/>
      <c r="J109" s="229">
        <f>SUBTOTAL(103,Tabla5[AB (m2) final])</f>
        <v>0</v>
      </c>
    </row>
  </sheetData>
  <mergeCells count="1">
    <mergeCell ref="A79:K79"/>
  </mergeCells>
  <pageMargins left="0.7" right="0.7" top="0.75" bottom="0.75" header="0.3" footer="0.3"/>
  <pageSetup paperSize="8" scale="65" orientation="portrait" r:id="rId1"/>
  <headerFooter>
    <oddHeader>&amp;C
Parcela &amp;"-,Negrita"&amp;K09+000B1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topLeftCell="A85" zoomScale="60" zoomScaleNormal="100" zoomScalePageLayoutView="60" workbookViewId="0">
      <selection activeCell="B108" sqref="B108"/>
    </sheetView>
  </sheetViews>
  <sheetFormatPr baseColWidth="10" defaultColWidth="8.7265625" defaultRowHeight="14.5" x14ac:dyDescent="0.35"/>
  <cols>
    <col min="1" max="1" width="20.1796875" customWidth="1"/>
    <col min="2" max="2" width="16.81640625" customWidth="1"/>
    <col min="3" max="3" width="18.453125" customWidth="1"/>
    <col min="4" max="4" width="11" customWidth="1"/>
    <col min="5" max="6" width="13.7265625" customWidth="1"/>
    <col min="7" max="7" width="14.7265625" customWidth="1"/>
    <col min="8" max="8" width="13.7265625" customWidth="1"/>
    <col min="9" max="9" width="15.26953125" customWidth="1"/>
    <col min="10" max="10" width="17.7265625" customWidth="1"/>
  </cols>
  <sheetData>
    <row r="1" spans="1:13" ht="15" thickBot="1" x14ac:dyDescent="0.4">
      <c r="A1" s="1" t="s">
        <v>0</v>
      </c>
      <c r="B1" t="s">
        <v>1</v>
      </c>
      <c r="C1" t="s">
        <v>2</v>
      </c>
      <c r="D1" t="s">
        <v>3</v>
      </c>
      <c r="E1" s="4" t="s">
        <v>8</v>
      </c>
      <c r="F1" s="4" t="s">
        <v>7</v>
      </c>
      <c r="G1" s="4" t="s">
        <v>141</v>
      </c>
      <c r="H1" s="4" t="s">
        <v>9</v>
      </c>
      <c r="I1" s="4" t="s">
        <v>195</v>
      </c>
      <c r="J1" s="4" t="s">
        <v>239</v>
      </c>
      <c r="K1" s="4" t="s">
        <v>149</v>
      </c>
      <c r="L1" t="s">
        <v>4</v>
      </c>
      <c r="M1" t="s">
        <v>21</v>
      </c>
    </row>
    <row r="2" spans="1:13" x14ac:dyDescent="0.35">
      <c r="A2" s="173">
        <v>1</v>
      </c>
      <c r="B2" s="174">
        <v>125</v>
      </c>
      <c r="C2" s="174">
        <v>8</v>
      </c>
      <c r="D2" s="174">
        <v>22</v>
      </c>
      <c r="E2" s="174"/>
      <c r="F2" s="190"/>
      <c r="G2" s="190"/>
      <c r="H2" s="190"/>
      <c r="I2" s="190"/>
      <c r="J2" s="237">
        <f t="shared" ref="J2:J44" si="0">PI()*(((D2)/2)/100)^2+PI()*(((E2)/2)/100)^2+PI()*(((F2)/2)/100)^2+PI()*(((G2)/2)/100)^2+PI()*(((H2)/2)/100)^2+PI()*(((I2)/2)/100)^2</f>
        <v>3.8013271108436497E-2</v>
      </c>
      <c r="K2" s="190"/>
      <c r="L2" s="174" t="s">
        <v>73</v>
      </c>
      <c r="M2" s="175"/>
    </row>
    <row r="3" spans="1:13" x14ac:dyDescent="0.35">
      <c r="A3" s="176">
        <v>2</v>
      </c>
      <c r="B3" s="137">
        <v>125</v>
      </c>
      <c r="C3" s="137">
        <v>6</v>
      </c>
      <c r="D3" s="137">
        <v>18</v>
      </c>
      <c r="E3" s="137"/>
      <c r="F3" s="138"/>
      <c r="G3" s="138"/>
      <c r="H3" s="138"/>
      <c r="I3" s="138"/>
      <c r="J3" s="241">
        <f t="shared" si="0"/>
        <v>2.5446900494077322E-2</v>
      </c>
      <c r="K3" s="138"/>
      <c r="L3" s="137" t="s">
        <v>73</v>
      </c>
      <c r="M3" s="177"/>
    </row>
    <row r="4" spans="1:13" x14ac:dyDescent="0.35">
      <c r="A4" s="176">
        <v>3</v>
      </c>
      <c r="B4" s="137">
        <v>125</v>
      </c>
      <c r="C4" s="137">
        <v>9</v>
      </c>
      <c r="D4" s="137">
        <v>32</v>
      </c>
      <c r="E4" s="137"/>
      <c r="F4" s="138"/>
      <c r="G4" s="138"/>
      <c r="H4" s="138"/>
      <c r="I4" s="138"/>
      <c r="J4" s="241">
        <f t="shared" si="0"/>
        <v>8.0424771931898703E-2</v>
      </c>
      <c r="K4" s="138"/>
      <c r="L4" s="137" t="s">
        <v>12</v>
      </c>
      <c r="M4" s="177"/>
    </row>
    <row r="5" spans="1:13" x14ac:dyDescent="0.35">
      <c r="A5" s="176">
        <v>4</v>
      </c>
      <c r="B5" s="137">
        <v>125</v>
      </c>
      <c r="C5" s="137">
        <v>7</v>
      </c>
      <c r="D5" s="137">
        <v>16</v>
      </c>
      <c r="E5" s="137"/>
      <c r="F5" s="138"/>
      <c r="G5" s="138"/>
      <c r="H5" s="138"/>
      <c r="I5" s="138"/>
      <c r="J5" s="241">
        <f t="shared" si="0"/>
        <v>2.0106192982974676E-2</v>
      </c>
      <c r="K5" s="138"/>
      <c r="L5" s="137" t="s">
        <v>73</v>
      </c>
      <c r="M5" s="177"/>
    </row>
    <row r="6" spans="1:13" x14ac:dyDescent="0.35">
      <c r="A6" s="176">
        <v>5</v>
      </c>
      <c r="B6" s="137">
        <v>125</v>
      </c>
      <c r="C6" s="137">
        <v>7</v>
      </c>
      <c r="D6" s="137">
        <v>13</v>
      </c>
      <c r="E6" s="137"/>
      <c r="F6" s="138"/>
      <c r="G6" s="138"/>
      <c r="H6" s="138"/>
      <c r="I6" s="138"/>
      <c r="J6" s="241">
        <f t="shared" si="0"/>
        <v>1.3273228961416878E-2</v>
      </c>
      <c r="K6" s="138"/>
      <c r="L6" s="137" t="s">
        <v>13</v>
      </c>
      <c r="M6" s="177"/>
    </row>
    <row r="7" spans="1:13" x14ac:dyDescent="0.35">
      <c r="A7" s="181">
        <v>6</v>
      </c>
      <c r="B7" s="133">
        <v>125</v>
      </c>
      <c r="C7" s="133">
        <v>6</v>
      </c>
      <c r="D7" s="133">
        <v>13</v>
      </c>
      <c r="E7" s="133"/>
      <c r="F7" s="134"/>
      <c r="G7" s="134"/>
      <c r="H7" s="134"/>
      <c r="I7" s="134"/>
      <c r="J7" s="244">
        <f t="shared" si="0"/>
        <v>1.3273228961416878E-2</v>
      </c>
      <c r="K7" s="134">
        <v>1</v>
      </c>
      <c r="L7" s="133" t="s">
        <v>5</v>
      </c>
      <c r="M7" s="182"/>
    </row>
    <row r="8" spans="1:13" x14ac:dyDescent="0.35">
      <c r="A8" s="176">
        <v>7</v>
      </c>
      <c r="B8" s="137">
        <v>125</v>
      </c>
      <c r="C8" s="137">
        <v>6.5</v>
      </c>
      <c r="D8" s="137">
        <v>9</v>
      </c>
      <c r="E8" s="137"/>
      <c r="F8" s="138"/>
      <c r="G8" s="138"/>
      <c r="H8" s="138"/>
      <c r="I8" s="138"/>
      <c r="J8" s="241">
        <f t="shared" si="0"/>
        <v>6.3617251235193305E-3</v>
      </c>
      <c r="K8" s="138"/>
      <c r="L8" s="137" t="s">
        <v>74</v>
      </c>
      <c r="M8" s="177"/>
    </row>
    <row r="9" spans="1:13" x14ac:dyDescent="0.35">
      <c r="A9" s="176">
        <v>8</v>
      </c>
      <c r="B9" s="137">
        <v>125</v>
      </c>
      <c r="C9" s="137">
        <v>8</v>
      </c>
      <c r="D9" s="137">
        <v>18</v>
      </c>
      <c r="E9" s="137"/>
      <c r="F9" s="138"/>
      <c r="G9" s="138"/>
      <c r="H9" s="138"/>
      <c r="I9" s="138"/>
      <c r="J9" s="241">
        <f t="shared" si="0"/>
        <v>2.5446900494077322E-2</v>
      </c>
      <c r="K9" s="138"/>
      <c r="L9" s="137" t="s">
        <v>12</v>
      </c>
      <c r="M9" s="177"/>
    </row>
    <row r="10" spans="1:13" x14ac:dyDescent="0.35">
      <c r="A10" s="176">
        <v>9</v>
      </c>
      <c r="B10" s="137">
        <v>125</v>
      </c>
      <c r="C10" s="137">
        <v>6</v>
      </c>
      <c r="D10" s="137">
        <v>9</v>
      </c>
      <c r="E10" s="137"/>
      <c r="F10" s="138"/>
      <c r="G10" s="138"/>
      <c r="H10" s="138"/>
      <c r="I10" s="138"/>
      <c r="J10" s="241">
        <f t="shared" si="0"/>
        <v>6.3617251235193305E-3</v>
      </c>
      <c r="K10" s="138"/>
      <c r="L10" s="137" t="s">
        <v>74</v>
      </c>
      <c r="M10" s="177"/>
    </row>
    <row r="11" spans="1:13" x14ac:dyDescent="0.35">
      <c r="A11" s="176">
        <v>10</v>
      </c>
      <c r="B11" s="137">
        <v>46</v>
      </c>
      <c r="C11" s="137">
        <v>2</v>
      </c>
      <c r="D11" s="137">
        <v>5</v>
      </c>
      <c r="E11" s="137"/>
      <c r="F11" s="138"/>
      <c r="G11" s="138"/>
      <c r="H11" s="138"/>
      <c r="I11" s="138"/>
      <c r="J11" s="241">
        <f t="shared" si="0"/>
        <v>1.9634954084936209E-3</v>
      </c>
      <c r="K11" s="138"/>
      <c r="L11" s="137" t="s">
        <v>75</v>
      </c>
      <c r="M11" s="177"/>
    </row>
    <row r="12" spans="1:13" x14ac:dyDescent="0.35">
      <c r="A12" s="176">
        <v>11</v>
      </c>
      <c r="B12" s="137">
        <v>46</v>
      </c>
      <c r="C12" s="137">
        <v>2</v>
      </c>
      <c r="D12" s="137">
        <v>5</v>
      </c>
      <c r="E12" s="137"/>
      <c r="F12" s="138"/>
      <c r="G12" s="138"/>
      <c r="H12" s="138"/>
      <c r="I12" s="138"/>
      <c r="J12" s="241">
        <f t="shared" si="0"/>
        <v>1.9634954084936209E-3</v>
      </c>
      <c r="K12" s="138"/>
      <c r="L12" s="137" t="s">
        <v>75</v>
      </c>
      <c r="M12" s="177"/>
    </row>
    <row r="13" spans="1:13" x14ac:dyDescent="0.35">
      <c r="A13" s="176">
        <v>12</v>
      </c>
      <c r="B13" s="137">
        <v>46</v>
      </c>
      <c r="C13" s="137">
        <v>2</v>
      </c>
      <c r="D13" s="137">
        <v>5</v>
      </c>
      <c r="E13" s="137"/>
      <c r="F13" s="138"/>
      <c r="G13" s="138"/>
      <c r="H13" s="138"/>
      <c r="I13" s="138"/>
      <c r="J13" s="241">
        <f t="shared" si="0"/>
        <v>1.9634954084936209E-3</v>
      </c>
      <c r="K13" s="138"/>
      <c r="L13" s="137" t="s">
        <v>75</v>
      </c>
      <c r="M13" s="177"/>
    </row>
    <row r="14" spans="1:13" x14ac:dyDescent="0.35">
      <c r="A14" s="176">
        <v>13</v>
      </c>
      <c r="B14" s="137">
        <v>46</v>
      </c>
      <c r="C14" s="137">
        <v>2</v>
      </c>
      <c r="D14" s="137">
        <v>5</v>
      </c>
      <c r="E14" s="137"/>
      <c r="F14" s="138"/>
      <c r="G14" s="138"/>
      <c r="H14" s="138"/>
      <c r="I14" s="138"/>
      <c r="J14" s="241">
        <f t="shared" si="0"/>
        <v>1.9634954084936209E-3</v>
      </c>
      <c r="K14" s="138"/>
      <c r="L14" s="137" t="s">
        <v>13</v>
      </c>
      <c r="M14" s="177"/>
    </row>
    <row r="15" spans="1:13" x14ac:dyDescent="0.35">
      <c r="A15" s="176">
        <v>14</v>
      </c>
      <c r="B15" s="137">
        <v>125</v>
      </c>
      <c r="C15" s="137">
        <v>7.5</v>
      </c>
      <c r="D15" s="137">
        <v>15</v>
      </c>
      <c r="E15" s="137"/>
      <c r="F15" s="138"/>
      <c r="G15" s="138"/>
      <c r="H15" s="138"/>
      <c r="I15" s="138"/>
      <c r="J15" s="241">
        <f t="shared" si="0"/>
        <v>1.7671458676442587E-2</v>
      </c>
      <c r="K15" s="138"/>
      <c r="L15" s="137" t="s">
        <v>73</v>
      </c>
      <c r="M15" s="177"/>
    </row>
    <row r="16" spans="1:13" x14ac:dyDescent="0.35">
      <c r="A16" s="176">
        <v>15</v>
      </c>
      <c r="B16" s="137">
        <v>125</v>
      </c>
      <c r="C16" s="137">
        <v>8</v>
      </c>
      <c r="D16" s="137">
        <v>8</v>
      </c>
      <c r="E16" s="137"/>
      <c r="F16" s="138"/>
      <c r="G16" s="138"/>
      <c r="H16" s="138"/>
      <c r="I16" s="138"/>
      <c r="J16" s="241">
        <f t="shared" si="0"/>
        <v>5.0265482457436689E-3</v>
      </c>
      <c r="K16" s="138"/>
      <c r="L16" s="137" t="s">
        <v>74</v>
      </c>
      <c r="M16" s="177"/>
    </row>
    <row r="17" spans="1:13" x14ac:dyDescent="0.35">
      <c r="A17" s="176">
        <v>16</v>
      </c>
      <c r="B17" s="137">
        <v>125</v>
      </c>
      <c r="C17" s="137">
        <v>8</v>
      </c>
      <c r="D17" s="137">
        <v>18</v>
      </c>
      <c r="E17" s="137"/>
      <c r="F17" s="138"/>
      <c r="G17" s="138"/>
      <c r="H17" s="138"/>
      <c r="I17" s="138"/>
      <c r="J17" s="241">
        <f t="shared" si="0"/>
        <v>2.5446900494077322E-2</v>
      </c>
      <c r="K17" s="138"/>
      <c r="L17" s="137" t="s">
        <v>76</v>
      </c>
      <c r="M17" s="177"/>
    </row>
    <row r="18" spans="1:13" x14ac:dyDescent="0.35">
      <c r="A18" s="181">
        <v>17</v>
      </c>
      <c r="B18" s="133">
        <v>125</v>
      </c>
      <c r="C18" s="133">
        <v>8</v>
      </c>
      <c r="D18" s="133">
        <v>21</v>
      </c>
      <c r="E18" s="133"/>
      <c r="F18" s="134"/>
      <c r="G18" s="134"/>
      <c r="H18" s="134"/>
      <c r="I18" s="134"/>
      <c r="J18" s="244">
        <f t="shared" si="0"/>
        <v>3.4636059005827467E-2</v>
      </c>
      <c r="K18" s="134">
        <v>1</v>
      </c>
      <c r="L18" s="133" t="s">
        <v>76</v>
      </c>
      <c r="M18" s="182"/>
    </row>
    <row r="19" spans="1:13" x14ac:dyDescent="0.35">
      <c r="A19" s="181">
        <v>18</v>
      </c>
      <c r="B19" s="133">
        <v>125</v>
      </c>
      <c r="C19" s="133">
        <v>8</v>
      </c>
      <c r="D19" s="133">
        <v>17</v>
      </c>
      <c r="E19" s="133"/>
      <c r="F19" s="134"/>
      <c r="G19" s="134"/>
      <c r="H19" s="134"/>
      <c r="I19" s="134"/>
      <c r="J19" s="244">
        <f t="shared" si="0"/>
        <v>2.2698006922186261E-2</v>
      </c>
      <c r="K19" s="134">
        <v>1</v>
      </c>
      <c r="L19" s="133" t="s">
        <v>12</v>
      </c>
      <c r="M19" s="182"/>
    </row>
    <row r="20" spans="1:13" x14ac:dyDescent="0.35">
      <c r="A20" s="176">
        <v>19</v>
      </c>
      <c r="B20" s="137">
        <v>125</v>
      </c>
      <c r="C20" s="137">
        <v>7</v>
      </c>
      <c r="D20" s="137">
        <v>9</v>
      </c>
      <c r="E20" s="137"/>
      <c r="F20" s="138"/>
      <c r="G20" s="138"/>
      <c r="H20" s="138"/>
      <c r="I20" s="138"/>
      <c r="J20" s="241">
        <f t="shared" si="0"/>
        <v>6.3617251235193305E-3</v>
      </c>
      <c r="K20" s="138"/>
      <c r="L20" s="137" t="s">
        <v>74</v>
      </c>
      <c r="M20" s="177"/>
    </row>
    <row r="21" spans="1:13" x14ac:dyDescent="0.35">
      <c r="A21" s="176">
        <v>20</v>
      </c>
      <c r="B21" s="137">
        <v>125</v>
      </c>
      <c r="C21" s="137">
        <v>7</v>
      </c>
      <c r="D21" s="137">
        <v>9</v>
      </c>
      <c r="E21" s="137"/>
      <c r="F21" s="138"/>
      <c r="G21" s="138"/>
      <c r="H21" s="138"/>
      <c r="I21" s="138"/>
      <c r="J21" s="241">
        <f t="shared" si="0"/>
        <v>6.3617251235193305E-3</v>
      </c>
      <c r="K21" s="138"/>
      <c r="L21" s="137" t="s">
        <v>74</v>
      </c>
      <c r="M21" s="177"/>
    </row>
    <row r="22" spans="1:13" x14ac:dyDescent="0.35">
      <c r="A22" s="176">
        <v>21</v>
      </c>
      <c r="B22" s="137">
        <v>125</v>
      </c>
      <c r="C22" s="137">
        <v>6.5</v>
      </c>
      <c r="D22" s="137">
        <v>7</v>
      </c>
      <c r="E22" s="137"/>
      <c r="F22" s="138"/>
      <c r="G22" s="138"/>
      <c r="H22" s="138"/>
      <c r="I22" s="138"/>
      <c r="J22" s="241">
        <f t="shared" si="0"/>
        <v>3.8484510006474969E-3</v>
      </c>
      <c r="K22" s="138"/>
      <c r="L22" s="137" t="s">
        <v>74</v>
      </c>
      <c r="M22" s="177"/>
    </row>
    <row r="23" spans="1:13" x14ac:dyDescent="0.35">
      <c r="A23" s="176">
        <v>22</v>
      </c>
      <c r="B23" s="137">
        <v>125</v>
      </c>
      <c r="C23" s="137">
        <v>7.5</v>
      </c>
      <c r="D23" s="137"/>
      <c r="E23" s="137">
        <v>13</v>
      </c>
      <c r="F23" s="138">
        <v>13</v>
      </c>
      <c r="G23" s="138"/>
      <c r="H23" s="138"/>
      <c r="I23" s="138"/>
      <c r="J23" s="241">
        <f t="shared" si="0"/>
        <v>2.6546457922833756E-2</v>
      </c>
      <c r="K23" s="138"/>
      <c r="L23" s="137" t="s">
        <v>76</v>
      </c>
      <c r="M23" s="177" t="s">
        <v>77</v>
      </c>
    </row>
    <row r="24" spans="1:13" x14ac:dyDescent="0.35">
      <c r="A24" s="176">
        <v>23</v>
      </c>
      <c r="B24" s="137">
        <v>125</v>
      </c>
      <c r="C24" s="137">
        <v>7.5</v>
      </c>
      <c r="D24" s="137">
        <v>13</v>
      </c>
      <c r="E24" s="137"/>
      <c r="F24" s="138"/>
      <c r="G24" s="138"/>
      <c r="H24" s="138"/>
      <c r="I24" s="138"/>
      <c r="J24" s="241">
        <f t="shared" si="0"/>
        <v>1.3273228961416878E-2</v>
      </c>
      <c r="K24" s="138"/>
      <c r="L24" s="137" t="s">
        <v>73</v>
      </c>
      <c r="M24" s="177"/>
    </row>
    <row r="25" spans="1:13" x14ac:dyDescent="0.35">
      <c r="A25" s="176">
        <v>24</v>
      </c>
      <c r="B25" s="137">
        <v>125</v>
      </c>
      <c r="C25" s="137">
        <v>8</v>
      </c>
      <c r="D25" s="137"/>
      <c r="E25" s="137">
        <v>15</v>
      </c>
      <c r="F25" s="138">
        <v>13</v>
      </c>
      <c r="G25" s="138"/>
      <c r="H25" s="138"/>
      <c r="I25" s="138"/>
      <c r="J25" s="241">
        <f t="shared" si="0"/>
        <v>3.0944687637859465E-2</v>
      </c>
      <c r="K25" s="138"/>
      <c r="L25" s="137" t="s">
        <v>76</v>
      </c>
      <c r="M25" s="177"/>
    </row>
    <row r="26" spans="1:13" x14ac:dyDescent="0.35">
      <c r="A26" s="176">
        <v>25</v>
      </c>
      <c r="B26" s="137">
        <v>125</v>
      </c>
      <c r="C26" s="137">
        <v>8.5</v>
      </c>
      <c r="D26" s="137">
        <v>19</v>
      </c>
      <c r="E26" s="137"/>
      <c r="F26" s="138"/>
      <c r="G26" s="138"/>
      <c r="H26" s="138"/>
      <c r="I26" s="138"/>
      <c r="J26" s="241">
        <f t="shared" si="0"/>
        <v>2.8352873698647883E-2</v>
      </c>
      <c r="K26" s="138"/>
      <c r="L26" s="137" t="s">
        <v>78</v>
      </c>
      <c r="M26" s="177"/>
    </row>
    <row r="27" spans="1:13" x14ac:dyDescent="0.35">
      <c r="A27" s="176">
        <v>26</v>
      </c>
      <c r="B27" s="137">
        <v>125</v>
      </c>
      <c r="C27" s="137">
        <v>5</v>
      </c>
      <c r="D27" s="137">
        <v>7</v>
      </c>
      <c r="E27" s="137"/>
      <c r="F27" s="138"/>
      <c r="G27" s="138"/>
      <c r="H27" s="138"/>
      <c r="I27" s="138"/>
      <c r="J27" s="241">
        <f t="shared" si="0"/>
        <v>3.8484510006474969E-3</v>
      </c>
      <c r="K27" s="138"/>
      <c r="L27" s="137" t="s">
        <v>74</v>
      </c>
      <c r="M27" s="177"/>
    </row>
    <row r="28" spans="1:13" x14ac:dyDescent="0.35">
      <c r="A28" s="181">
        <v>27</v>
      </c>
      <c r="B28" s="133">
        <v>125</v>
      </c>
      <c r="C28" s="133">
        <v>7.5</v>
      </c>
      <c r="D28" s="133"/>
      <c r="E28" s="133">
        <v>15</v>
      </c>
      <c r="F28" s="134">
        <v>8</v>
      </c>
      <c r="G28" s="134"/>
      <c r="H28" s="134"/>
      <c r="I28" s="134"/>
      <c r="J28" s="244">
        <f t="shared" si="0"/>
        <v>2.2698006922186258E-2</v>
      </c>
      <c r="K28" s="134">
        <v>1</v>
      </c>
      <c r="L28" s="133" t="s">
        <v>73</v>
      </c>
      <c r="M28" s="182"/>
    </row>
    <row r="29" spans="1:13" x14ac:dyDescent="0.35">
      <c r="A29" s="176">
        <v>28</v>
      </c>
      <c r="B29" s="137">
        <v>125</v>
      </c>
      <c r="C29" s="137">
        <v>9</v>
      </c>
      <c r="D29" s="137"/>
      <c r="E29" s="137">
        <v>16</v>
      </c>
      <c r="F29" s="138">
        <v>19</v>
      </c>
      <c r="G29" s="138"/>
      <c r="H29" s="138"/>
      <c r="I29" s="138"/>
      <c r="J29" s="241">
        <f t="shared" si="0"/>
        <v>4.8459066681622559E-2</v>
      </c>
      <c r="K29" s="138"/>
      <c r="L29" s="137" t="s">
        <v>13</v>
      </c>
      <c r="M29" s="177"/>
    </row>
    <row r="30" spans="1:13" x14ac:dyDescent="0.35">
      <c r="A30" s="176">
        <v>29</v>
      </c>
      <c r="B30" s="137">
        <v>125</v>
      </c>
      <c r="C30" s="137">
        <v>8.5</v>
      </c>
      <c r="D30" s="137">
        <v>21</v>
      </c>
      <c r="E30" s="137"/>
      <c r="F30" s="138"/>
      <c r="G30" s="138"/>
      <c r="H30" s="138"/>
      <c r="I30" s="138"/>
      <c r="J30" s="241">
        <f t="shared" si="0"/>
        <v>3.4636059005827467E-2</v>
      </c>
      <c r="K30" s="138"/>
      <c r="L30" s="137" t="s">
        <v>12</v>
      </c>
      <c r="M30" s="177"/>
    </row>
    <row r="31" spans="1:13" x14ac:dyDescent="0.35">
      <c r="A31" s="176">
        <v>30</v>
      </c>
      <c r="B31" s="137">
        <v>125</v>
      </c>
      <c r="C31" s="137">
        <v>9</v>
      </c>
      <c r="D31" s="137"/>
      <c r="E31" s="137">
        <v>25</v>
      </c>
      <c r="F31" s="138">
        <v>12</v>
      </c>
      <c r="G31" s="138"/>
      <c r="H31" s="138"/>
      <c r="I31" s="138"/>
      <c r="J31" s="241">
        <f t="shared" si="0"/>
        <v>6.0397118765263769E-2</v>
      </c>
      <c r="K31" s="138"/>
      <c r="L31" s="137" t="s">
        <v>76</v>
      </c>
      <c r="M31" s="177"/>
    </row>
    <row r="32" spans="1:13" x14ac:dyDescent="0.35">
      <c r="A32" s="176">
        <v>31</v>
      </c>
      <c r="B32" s="137">
        <v>125</v>
      </c>
      <c r="C32" s="137">
        <v>7.5</v>
      </c>
      <c r="D32" s="137"/>
      <c r="E32" s="137">
        <v>13</v>
      </c>
      <c r="F32" s="138">
        <v>14</v>
      </c>
      <c r="G32" s="138"/>
      <c r="H32" s="138"/>
      <c r="I32" s="138"/>
      <c r="J32" s="241">
        <f t="shared" si="0"/>
        <v>2.8667032964006866E-2</v>
      </c>
      <c r="K32" s="138"/>
      <c r="L32" s="137" t="s">
        <v>76</v>
      </c>
      <c r="M32" s="177"/>
    </row>
    <row r="33" spans="1:13" x14ac:dyDescent="0.35">
      <c r="A33" s="176">
        <v>32</v>
      </c>
      <c r="B33" s="137">
        <v>125</v>
      </c>
      <c r="C33" s="137">
        <v>7.5</v>
      </c>
      <c r="D33" s="137"/>
      <c r="E33" s="137">
        <v>4</v>
      </c>
      <c r="F33" s="138">
        <v>13</v>
      </c>
      <c r="G33" s="138">
        <v>14</v>
      </c>
      <c r="H33" s="138"/>
      <c r="I33" s="138"/>
      <c r="J33" s="241">
        <f t="shared" si="0"/>
        <v>2.9923670025442783E-2</v>
      </c>
      <c r="K33" s="138"/>
      <c r="L33" s="137" t="s">
        <v>73</v>
      </c>
      <c r="M33" s="177"/>
    </row>
    <row r="34" spans="1:13" x14ac:dyDescent="0.35">
      <c r="A34" s="176">
        <v>33</v>
      </c>
      <c r="B34" s="137">
        <v>46</v>
      </c>
      <c r="C34" s="137">
        <v>3</v>
      </c>
      <c r="D34" s="137">
        <v>6</v>
      </c>
      <c r="E34" s="137"/>
      <c r="F34" s="138"/>
      <c r="G34" s="138"/>
      <c r="H34" s="138"/>
      <c r="I34" s="138"/>
      <c r="J34" s="241">
        <f t="shared" si="0"/>
        <v>2.8274333882308137E-3</v>
      </c>
      <c r="K34" s="138"/>
      <c r="L34" s="137" t="s">
        <v>75</v>
      </c>
      <c r="M34" s="177"/>
    </row>
    <row r="35" spans="1:13" x14ac:dyDescent="0.35">
      <c r="A35" s="176">
        <v>34</v>
      </c>
      <c r="B35" s="137">
        <v>46</v>
      </c>
      <c r="C35" s="137">
        <v>3</v>
      </c>
      <c r="D35" s="137">
        <v>6</v>
      </c>
      <c r="E35" s="137"/>
      <c r="F35" s="138"/>
      <c r="G35" s="138"/>
      <c r="H35" s="138"/>
      <c r="I35" s="138"/>
      <c r="J35" s="241">
        <f t="shared" si="0"/>
        <v>2.8274333882308137E-3</v>
      </c>
      <c r="K35" s="138"/>
      <c r="L35" s="137" t="s">
        <v>75</v>
      </c>
      <c r="M35" s="177"/>
    </row>
    <row r="36" spans="1:13" x14ac:dyDescent="0.35">
      <c r="A36" s="176">
        <v>35</v>
      </c>
      <c r="B36" s="137">
        <v>125</v>
      </c>
      <c r="C36" s="137">
        <v>8</v>
      </c>
      <c r="D36" s="137">
        <v>14</v>
      </c>
      <c r="E36" s="137"/>
      <c r="F36" s="138"/>
      <c r="G36" s="138"/>
      <c r="H36" s="138"/>
      <c r="I36" s="138"/>
      <c r="J36" s="241">
        <f t="shared" si="0"/>
        <v>1.5393804002589988E-2</v>
      </c>
      <c r="K36" s="138"/>
      <c r="L36" s="137" t="s">
        <v>76</v>
      </c>
      <c r="M36" s="177"/>
    </row>
    <row r="37" spans="1:13" x14ac:dyDescent="0.35">
      <c r="A37" s="176">
        <v>36</v>
      </c>
      <c r="B37" s="137">
        <v>125</v>
      </c>
      <c r="C37" s="137">
        <v>8</v>
      </c>
      <c r="D37" s="137">
        <v>20</v>
      </c>
      <c r="E37" s="137"/>
      <c r="F37" s="138"/>
      <c r="G37" s="138"/>
      <c r="H37" s="138"/>
      <c r="I37" s="138"/>
      <c r="J37" s="241">
        <f t="shared" si="0"/>
        <v>3.1415926535897934E-2</v>
      </c>
      <c r="K37" s="138"/>
      <c r="L37" s="137" t="s">
        <v>13</v>
      </c>
      <c r="M37" s="177"/>
    </row>
    <row r="38" spans="1:13" x14ac:dyDescent="0.35">
      <c r="A38" s="176">
        <v>37</v>
      </c>
      <c r="B38" s="137">
        <v>125</v>
      </c>
      <c r="C38" s="137">
        <v>7</v>
      </c>
      <c r="D38" s="137">
        <v>12</v>
      </c>
      <c r="E38" s="137"/>
      <c r="F38" s="138"/>
      <c r="G38" s="138"/>
      <c r="H38" s="138"/>
      <c r="I38" s="138"/>
      <c r="J38" s="241">
        <f t="shared" si="0"/>
        <v>1.1309733552923255E-2</v>
      </c>
      <c r="K38" s="138"/>
      <c r="L38" s="137" t="s">
        <v>13</v>
      </c>
      <c r="M38" s="177"/>
    </row>
    <row r="39" spans="1:13" x14ac:dyDescent="0.35">
      <c r="A39" s="176">
        <v>38</v>
      </c>
      <c r="B39" s="137">
        <v>125</v>
      </c>
      <c r="C39" s="137">
        <v>9</v>
      </c>
      <c r="D39" s="137"/>
      <c r="E39" s="137">
        <v>20</v>
      </c>
      <c r="F39" s="138">
        <v>22</v>
      </c>
      <c r="G39" s="138"/>
      <c r="H39" s="138"/>
      <c r="I39" s="138"/>
      <c r="J39" s="241">
        <f t="shared" si="0"/>
        <v>6.9429197644334431E-2</v>
      </c>
      <c r="K39" s="138"/>
      <c r="L39" s="137" t="s">
        <v>76</v>
      </c>
      <c r="M39" s="177"/>
    </row>
    <row r="40" spans="1:13" x14ac:dyDescent="0.35">
      <c r="A40" s="181">
        <v>39</v>
      </c>
      <c r="B40" s="133">
        <v>125</v>
      </c>
      <c r="C40" s="133">
        <v>5</v>
      </c>
      <c r="D40" s="133">
        <v>9</v>
      </c>
      <c r="E40" s="133"/>
      <c r="F40" s="134"/>
      <c r="G40" s="134"/>
      <c r="H40" s="134"/>
      <c r="I40" s="134"/>
      <c r="J40" s="244">
        <f t="shared" si="0"/>
        <v>6.3617251235193305E-3</v>
      </c>
      <c r="K40" s="134">
        <v>1</v>
      </c>
      <c r="L40" s="133" t="s">
        <v>74</v>
      </c>
      <c r="M40" s="182"/>
    </row>
    <row r="41" spans="1:13" x14ac:dyDescent="0.35">
      <c r="A41" s="176">
        <v>40</v>
      </c>
      <c r="B41" s="137">
        <v>125</v>
      </c>
      <c r="C41" s="137">
        <v>9</v>
      </c>
      <c r="D41" s="137"/>
      <c r="E41" s="137">
        <v>16</v>
      </c>
      <c r="F41" s="138">
        <v>18</v>
      </c>
      <c r="G41" s="138"/>
      <c r="H41" s="138"/>
      <c r="I41" s="138"/>
      <c r="J41" s="241">
        <f t="shared" si="0"/>
        <v>4.5553093477051998E-2</v>
      </c>
      <c r="K41" s="138"/>
      <c r="L41" s="137" t="s">
        <v>78</v>
      </c>
      <c r="M41" s="177"/>
    </row>
    <row r="42" spans="1:13" x14ac:dyDescent="0.35">
      <c r="A42" s="176">
        <v>41</v>
      </c>
      <c r="B42" s="137">
        <v>125</v>
      </c>
      <c r="C42" s="137">
        <v>9</v>
      </c>
      <c r="D42" s="137">
        <v>20</v>
      </c>
      <c r="E42" s="137"/>
      <c r="F42" s="138"/>
      <c r="G42" s="138"/>
      <c r="H42" s="138"/>
      <c r="I42" s="138"/>
      <c r="J42" s="241">
        <f t="shared" si="0"/>
        <v>3.1415926535897934E-2</v>
      </c>
      <c r="K42" s="138"/>
      <c r="L42" s="137" t="s">
        <v>76</v>
      </c>
      <c r="M42" s="177"/>
    </row>
    <row r="43" spans="1:13" x14ac:dyDescent="0.35">
      <c r="A43" s="176">
        <v>42</v>
      </c>
      <c r="B43" s="137">
        <v>125</v>
      </c>
      <c r="C43" s="137">
        <v>7.5</v>
      </c>
      <c r="D43" s="137"/>
      <c r="E43" s="137">
        <v>12</v>
      </c>
      <c r="F43" s="138">
        <v>18</v>
      </c>
      <c r="G43" s="138"/>
      <c r="H43" s="138"/>
      <c r="I43" s="138"/>
      <c r="J43" s="241">
        <f t="shared" si="0"/>
        <v>3.675663404700058E-2</v>
      </c>
      <c r="K43" s="138"/>
      <c r="L43" s="137" t="s">
        <v>73</v>
      </c>
      <c r="M43" s="177" t="s">
        <v>77</v>
      </c>
    </row>
    <row r="44" spans="1:13" x14ac:dyDescent="0.35">
      <c r="A44" s="176">
        <v>43</v>
      </c>
      <c r="B44" s="137">
        <v>125</v>
      </c>
      <c r="C44" s="137">
        <v>7.5</v>
      </c>
      <c r="D44" s="137">
        <v>13</v>
      </c>
      <c r="E44" s="137"/>
      <c r="F44" s="138"/>
      <c r="G44" s="138"/>
      <c r="H44" s="138"/>
      <c r="I44" s="138"/>
      <c r="J44" s="241">
        <f t="shared" si="0"/>
        <v>1.3273228961416878E-2</v>
      </c>
      <c r="K44" s="138"/>
      <c r="L44" s="137" t="s">
        <v>73</v>
      </c>
      <c r="M44" s="177"/>
    </row>
    <row r="45" spans="1:13" ht="15" thickBot="1" x14ac:dyDescent="0.4">
      <c r="A45" s="306">
        <f>SUBTOTAL(103,Tabla9[número de árboles])</f>
        <v>43</v>
      </c>
      <c r="B45" s="166" t="s">
        <v>146</v>
      </c>
      <c r="C45" s="321">
        <f>SUBTOTAL(101,Tabla9[altura])</f>
        <v>6.8139534883720927</v>
      </c>
      <c r="D45" s="321">
        <f>SUBTOTAL(101,Tabla9[diámetro])</f>
        <v>13.151515151515152</v>
      </c>
      <c r="E45" s="321">
        <f>SUBTOTAL(101,Tabla9[Hermanado1])</f>
        <v>14.9</v>
      </c>
      <c r="F45" s="321">
        <f>SUBTOTAL(101,Tabla9[Hermanado2])</f>
        <v>15</v>
      </c>
      <c r="G45" s="321">
        <f>SUBTOTAL(101,Tabla9[Hermanado3])</f>
        <v>14</v>
      </c>
      <c r="H45" s="304"/>
      <c r="I45" s="307"/>
      <c r="J45" s="307"/>
      <c r="K45" s="313">
        <f>SUBTOTAL(109,Tabla9[APEADO])</f>
        <v>5</v>
      </c>
      <c r="L45" s="313"/>
      <c r="M45" s="322"/>
    </row>
    <row r="46" spans="1:13" x14ac:dyDescent="0.35">
      <c r="A46" s="291"/>
      <c r="B46" s="291"/>
      <c r="C46" s="77"/>
      <c r="D46" s="77"/>
      <c r="E46" s="77"/>
      <c r="F46" s="77"/>
      <c r="G46" s="77"/>
      <c r="H46" s="305"/>
      <c r="I46" s="305"/>
      <c r="J46" s="77"/>
      <c r="K46" s="77"/>
      <c r="L46" s="61"/>
    </row>
    <row r="47" spans="1:13" x14ac:dyDescent="0.35">
      <c r="A47" s="291"/>
      <c r="B47" s="291"/>
      <c r="C47" s="77"/>
      <c r="D47" s="77"/>
      <c r="E47" s="77"/>
      <c r="F47" s="77"/>
      <c r="G47" s="77"/>
      <c r="H47" s="305"/>
      <c r="I47" s="305"/>
      <c r="J47" s="77"/>
      <c r="K47" s="77"/>
      <c r="L47" s="61"/>
    </row>
    <row r="48" spans="1:13" x14ac:dyDescent="0.35">
      <c r="A48" s="291"/>
      <c r="B48" s="291"/>
      <c r="C48" s="77"/>
      <c r="D48" s="77"/>
      <c r="E48" s="77"/>
      <c r="F48" s="77"/>
      <c r="G48" s="77"/>
      <c r="H48" s="305"/>
      <c r="I48" s="305"/>
      <c r="J48" s="77"/>
      <c r="K48" s="77"/>
      <c r="L48" s="61"/>
    </row>
    <row r="49" spans="1:12" x14ac:dyDescent="0.35">
      <c r="A49" s="291"/>
      <c r="B49" s="291"/>
      <c r="C49" s="77"/>
      <c r="D49" s="77"/>
      <c r="E49" s="77"/>
      <c r="F49" s="77"/>
      <c r="G49" s="77"/>
      <c r="H49" s="305"/>
      <c r="I49" s="305"/>
      <c r="J49" s="77"/>
      <c r="K49" s="77"/>
      <c r="L49" s="61"/>
    </row>
    <row r="50" spans="1:12" x14ac:dyDescent="0.35">
      <c r="A50" s="291"/>
      <c r="B50" s="291"/>
      <c r="C50" s="77"/>
      <c r="D50" s="77"/>
      <c r="E50" s="77"/>
      <c r="F50" s="77"/>
      <c r="G50" s="77"/>
      <c r="H50" s="305"/>
      <c r="I50" s="305"/>
      <c r="J50" s="77"/>
      <c r="K50" s="77"/>
      <c r="L50" s="61"/>
    </row>
    <row r="51" spans="1:12" x14ac:dyDescent="0.35">
      <c r="A51" s="291"/>
      <c r="B51" s="291"/>
      <c r="C51" s="77"/>
      <c r="D51" s="77"/>
      <c r="E51" s="77"/>
      <c r="F51" s="77"/>
      <c r="G51" s="77"/>
      <c r="H51" s="305"/>
      <c r="I51" s="305"/>
      <c r="J51" s="77"/>
      <c r="K51" s="77"/>
      <c r="L51" s="61"/>
    </row>
    <row r="52" spans="1:12" x14ac:dyDescent="0.35">
      <c r="A52" s="291"/>
      <c r="B52" s="291"/>
      <c r="C52" s="77"/>
      <c r="D52" s="77"/>
      <c r="E52" s="77"/>
      <c r="F52" s="77"/>
      <c r="G52" s="77"/>
      <c r="H52" s="305"/>
      <c r="I52" s="305"/>
      <c r="J52" s="77"/>
      <c r="K52" s="77"/>
      <c r="L52" s="61"/>
    </row>
    <row r="53" spans="1:12" x14ac:dyDescent="0.35">
      <c r="A53" s="291"/>
      <c r="B53" s="291"/>
      <c r="C53" s="77"/>
      <c r="D53" s="77"/>
      <c r="E53" s="77"/>
      <c r="F53" s="77"/>
      <c r="G53" s="77"/>
      <c r="H53" s="305"/>
      <c r="I53" s="305"/>
      <c r="J53" s="77"/>
      <c r="K53" s="77"/>
      <c r="L53" s="61"/>
    </row>
    <row r="54" spans="1:12" x14ac:dyDescent="0.35">
      <c r="A54" s="291"/>
      <c r="B54" s="291"/>
      <c r="C54" s="77"/>
      <c r="D54" s="77"/>
      <c r="E54" s="77"/>
      <c r="F54" s="77"/>
      <c r="G54" s="77"/>
      <c r="H54" s="305"/>
      <c r="I54" s="305"/>
      <c r="J54" s="77"/>
      <c r="K54" s="77"/>
      <c r="L54" s="61"/>
    </row>
    <row r="55" spans="1:12" x14ac:dyDescent="0.35">
      <c r="A55" s="291"/>
      <c r="B55" s="291"/>
      <c r="C55" s="77"/>
      <c r="D55" s="77"/>
      <c r="E55" s="77"/>
      <c r="F55" s="77"/>
      <c r="G55" s="77"/>
      <c r="H55" s="305"/>
      <c r="I55" s="305"/>
      <c r="J55" s="77"/>
      <c r="K55" s="77"/>
      <c r="L55" s="61"/>
    </row>
    <row r="56" spans="1:12" x14ac:dyDescent="0.35">
      <c r="A56" s="291"/>
      <c r="B56" s="291"/>
      <c r="C56" s="77"/>
      <c r="D56" s="77"/>
      <c r="E56" s="77"/>
      <c r="F56" s="77"/>
      <c r="G56" s="77"/>
      <c r="H56" s="305"/>
      <c r="I56" s="305"/>
      <c r="J56" s="77"/>
      <c r="K56" s="77"/>
      <c r="L56" s="61"/>
    </row>
    <row r="57" spans="1:12" x14ac:dyDescent="0.35">
      <c r="A57" s="291"/>
      <c r="B57" s="291"/>
      <c r="C57" s="77"/>
      <c r="D57" s="77"/>
      <c r="E57" s="77"/>
      <c r="F57" s="77"/>
      <c r="G57" s="77"/>
      <c r="H57" s="305"/>
      <c r="I57" s="305"/>
      <c r="J57" s="77"/>
      <c r="K57" s="77"/>
      <c r="L57" s="61"/>
    </row>
    <row r="58" spans="1:12" x14ac:dyDescent="0.35">
      <c r="A58" s="291"/>
      <c r="B58" s="291"/>
      <c r="C58" s="77"/>
      <c r="D58" s="77"/>
      <c r="E58" s="77"/>
      <c r="F58" s="77"/>
      <c r="G58" s="77"/>
      <c r="H58" s="305"/>
      <c r="I58" s="305"/>
      <c r="J58" s="77"/>
      <c r="K58" s="77"/>
      <c r="L58" s="61"/>
    </row>
    <row r="59" spans="1:12" x14ac:dyDescent="0.35">
      <c r="A59" s="291"/>
      <c r="B59" s="291"/>
      <c r="C59" s="77"/>
      <c r="D59" s="77"/>
      <c r="E59" s="77"/>
      <c r="F59" s="77"/>
      <c r="G59" s="77"/>
      <c r="H59" s="305"/>
      <c r="I59" s="305"/>
      <c r="J59" s="77"/>
      <c r="K59" s="77"/>
      <c r="L59" s="61"/>
    </row>
    <row r="60" spans="1:12" x14ac:dyDescent="0.35">
      <c r="A60" s="291"/>
      <c r="B60" s="291"/>
      <c r="C60" s="77"/>
      <c r="D60" s="77"/>
      <c r="E60" s="77"/>
      <c r="F60" s="77"/>
      <c r="G60" s="77"/>
      <c r="H60" s="305"/>
      <c r="I60" s="305"/>
      <c r="J60" s="77"/>
      <c r="K60" s="77"/>
      <c r="L60" s="61"/>
    </row>
    <row r="61" spans="1:12" x14ac:dyDescent="0.35">
      <c r="A61" s="291"/>
      <c r="B61" s="291"/>
      <c r="C61" s="77"/>
      <c r="D61" s="77"/>
      <c r="E61" s="77"/>
      <c r="F61" s="77"/>
      <c r="G61" s="77"/>
      <c r="H61" s="305"/>
      <c r="I61" s="305"/>
      <c r="J61" s="77"/>
      <c r="K61" s="77"/>
      <c r="L61" s="61"/>
    </row>
    <row r="62" spans="1:12" x14ac:dyDescent="0.35">
      <c r="A62" s="291"/>
      <c r="B62" s="291"/>
      <c r="C62" s="77"/>
      <c r="D62" s="77"/>
      <c r="E62" s="77"/>
      <c r="F62" s="77"/>
      <c r="G62" s="77"/>
      <c r="H62" s="305"/>
      <c r="I62" s="305"/>
      <c r="J62" s="77"/>
      <c r="K62" s="77"/>
      <c r="L62" s="61"/>
    </row>
    <row r="63" spans="1:12" x14ac:dyDescent="0.35">
      <c r="A63" s="291"/>
      <c r="B63" s="291"/>
      <c r="C63" s="77"/>
      <c r="D63" s="77"/>
      <c r="E63" s="77"/>
      <c r="F63" s="77"/>
      <c r="G63" s="77"/>
      <c r="H63" s="305"/>
      <c r="I63" s="305"/>
      <c r="J63" s="77"/>
      <c r="K63" s="77"/>
      <c r="L63" s="61"/>
    </row>
    <row r="64" spans="1:12" x14ac:dyDescent="0.35">
      <c r="A64" s="291"/>
      <c r="B64" s="291"/>
      <c r="C64" s="77"/>
      <c r="D64" s="77"/>
      <c r="E64" s="77"/>
      <c r="F64" s="77"/>
      <c r="G64" s="77"/>
      <c r="H64" s="305"/>
      <c r="I64" s="305"/>
      <c r="J64" s="77"/>
      <c r="K64" s="77"/>
      <c r="L64" s="61"/>
    </row>
    <row r="65" spans="1:12" x14ac:dyDescent="0.35">
      <c r="A65" s="291"/>
      <c r="B65" s="291"/>
      <c r="C65" s="77"/>
      <c r="D65" s="77"/>
      <c r="E65" s="77"/>
      <c r="F65" s="77"/>
      <c r="G65" s="77"/>
      <c r="H65" s="305"/>
      <c r="I65" s="305"/>
      <c r="J65" s="77"/>
      <c r="K65" s="77"/>
      <c r="L65" s="61"/>
    </row>
    <row r="66" spans="1:12" x14ac:dyDescent="0.35">
      <c r="A66" s="291"/>
      <c r="B66" s="291"/>
      <c r="C66" s="77"/>
      <c r="D66" s="77"/>
      <c r="E66" s="77"/>
      <c r="F66" s="77"/>
      <c r="G66" s="77"/>
      <c r="H66" s="305"/>
      <c r="I66" s="305"/>
      <c r="J66" s="77"/>
      <c r="K66" s="77"/>
      <c r="L66" s="61"/>
    </row>
    <row r="67" spans="1:12" x14ac:dyDescent="0.35">
      <c r="A67" s="291"/>
      <c r="B67" s="291"/>
      <c r="C67" s="77"/>
      <c r="D67" s="77"/>
      <c r="E67" s="77"/>
      <c r="F67" s="77"/>
      <c r="G67" s="77"/>
      <c r="H67" s="305"/>
      <c r="I67" s="305"/>
      <c r="J67" s="77"/>
      <c r="K67" s="77"/>
      <c r="L67" s="61"/>
    </row>
    <row r="68" spans="1:12" x14ac:dyDescent="0.35">
      <c r="A68" s="291"/>
      <c r="B68" s="291"/>
      <c r="C68" s="77"/>
      <c r="D68" s="77"/>
      <c r="E68" s="77"/>
      <c r="F68" s="77"/>
      <c r="G68" s="77"/>
      <c r="H68" s="305"/>
      <c r="I68" s="305"/>
      <c r="J68" s="77"/>
      <c r="K68" s="77"/>
      <c r="L68" s="61"/>
    </row>
    <row r="69" spans="1:12" ht="15" thickBot="1" x14ac:dyDescent="0.4">
      <c r="A69" s="291"/>
      <c r="B69" s="291"/>
      <c r="C69" s="77"/>
      <c r="D69" s="77"/>
      <c r="E69" s="77"/>
      <c r="F69" s="77"/>
      <c r="G69" s="77"/>
      <c r="H69" s="305"/>
      <c r="I69" s="305"/>
      <c r="J69" s="77"/>
      <c r="K69" s="77"/>
      <c r="L69" s="61"/>
    </row>
    <row r="70" spans="1:12" ht="58.5" thickBot="1" x14ac:dyDescent="0.4">
      <c r="A70" s="293" t="s">
        <v>232</v>
      </c>
      <c r="B70" s="294" t="s">
        <v>216</v>
      </c>
      <c r="C70" s="295" t="s">
        <v>237</v>
      </c>
      <c r="D70" s="294" t="s">
        <v>218</v>
      </c>
      <c r="E70" s="294" t="s">
        <v>219</v>
      </c>
      <c r="F70" s="294" t="s">
        <v>230</v>
      </c>
      <c r="G70" s="294" t="s">
        <v>224</v>
      </c>
      <c r="H70" s="294" t="s">
        <v>226</v>
      </c>
      <c r="I70" s="294" t="s">
        <v>227</v>
      </c>
      <c r="J70" s="296"/>
      <c r="K70" s="296"/>
    </row>
    <row r="71" spans="1:12" x14ac:dyDescent="0.35">
      <c r="A71" s="292">
        <v>125</v>
      </c>
      <c r="B71" s="290"/>
      <c r="C71" s="290"/>
      <c r="D71" s="290"/>
      <c r="E71" s="290"/>
      <c r="F71" s="290"/>
      <c r="G71" s="290"/>
      <c r="H71" s="290"/>
      <c r="I71" s="290"/>
      <c r="J71" s="145"/>
      <c r="K71" s="145"/>
    </row>
    <row r="72" spans="1:12" x14ac:dyDescent="0.35">
      <c r="A72" s="3">
        <v>130</v>
      </c>
      <c r="B72" s="249" t="e">
        <f>Tabla8[[#Totals],[AB m2]]*C85/C84</f>
        <v>#DIV/0!</v>
      </c>
      <c r="C72" s="248">
        <v>37</v>
      </c>
      <c r="D72" s="248">
        <f>25*25/10000</f>
        <v>6.25E-2</v>
      </c>
      <c r="E72" s="248">
        <f>C72/D72</f>
        <v>592</v>
      </c>
      <c r="F72" s="248">
        <f>COUNT(Tabla8[[diámetro]:[Hermanado5]])</f>
        <v>66</v>
      </c>
      <c r="G72" s="248"/>
      <c r="H72" s="249" t="e">
        <f>(#REF!*#REF!+#REF!*#REF!+#REF!*#REF!+#REF!*#REF!+#REF!*#REF!+#REF!*#REF!+#REF!*#REF!+#REF!*#REF!)/#REF!</f>
        <v>#REF!</v>
      </c>
      <c r="I72" s="250" t="e">
        <f>SQRT((#REF!^2*#REF!+#REF!^2*#REF!+#REF!^2*#REF!+#REF!^2*#REF!+#REF!^2*#REF!+#REF!^2*#REF!+#REF!^2*#REF!+#REF!^2*#REF!)/#REF!)</f>
        <v>#REF!</v>
      </c>
      <c r="J72" s="145"/>
      <c r="K72" s="145"/>
    </row>
    <row r="73" spans="1:12" x14ac:dyDescent="0.35">
      <c r="A73" s="3">
        <v>112</v>
      </c>
      <c r="B73" s="2"/>
      <c r="C73" s="2"/>
      <c r="D73" s="2"/>
      <c r="E73" s="2"/>
      <c r="F73" s="2"/>
      <c r="G73" s="2"/>
      <c r="H73" s="2"/>
      <c r="I73" s="2"/>
      <c r="J73" s="145"/>
      <c r="K73" s="145"/>
    </row>
    <row r="74" spans="1:12" ht="15" thickBot="1" x14ac:dyDescent="0.4">
      <c r="A74" s="3">
        <v>46</v>
      </c>
      <c r="B74" s="2"/>
      <c r="C74" s="2"/>
      <c r="D74" s="2"/>
      <c r="E74" s="2"/>
      <c r="F74" s="2"/>
      <c r="G74" s="2"/>
      <c r="H74" s="2"/>
      <c r="I74" s="2"/>
    </row>
    <row r="75" spans="1:12" ht="15" thickBot="1" x14ac:dyDescent="0.4">
      <c r="A75" s="3">
        <v>43</v>
      </c>
      <c r="B75" s="2"/>
      <c r="C75" s="2"/>
      <c r="D75" s="2"/>
      <c r="E75" s="2"/>
      <c r="F75" s="2"/>
      <c r="G75" s="2"/>
      <c r="H75" s="2"/>
      <c r="I75" s="2"/>
      <c r="J75" s="232"/>
      <c r="K75" s="233"/>
    </row>
    <row r="76" spans="1:12" ht="15" thickBot="1" x14ac:dyDescent="0.4">
      <c r="A76" s="3">
        <v>23</v>
      </c>
      <c r="B76" s="4"/>
      <c r="C76" s="4"/>
      <c r="D76" s="4"/>
      <c r="E76" s="4"/>
      <c r="F76" s="4"/>
      <c r="G76" s="4"/>
      <c r="H76" s="4"/>
      <c r="I76" s="4"/>
    </row>
    <row r="77" spans="1:12" ht="15" thickBot="1" x14ac:dyDescent="0.4">
      <c r="A77" s="19" t="s">
        <v>63</v>
      </c>
      <c r="B77" s="4"/>
      <c r="C77" s="4"/>
      <c r="D77" s="4"/>
      <c r="E77" s="4"/>
      <c r="F77" s="4"/>
      <c r="G77" s="4"/>
      <c r="H77" s="4"/>
      <c r="I77" s="4"/>
      <c r="J77" s="232"/>
      <c r="K77" s="233"/>
    </row>
    <row r="78" spans="1:12" ht="15" thickBot="1" x14ac:dyDescent="0.4">
      <c r="A78" s="365" t="s">
        <v>246</v>
      </c>
      <c r="B78" s="366"/>
      <c r="C78" s="366"/>
      <c r="D78" s="366"/>
      <c r="E78" s="366"/>
      <c r="F78" s="366"/>
      <c r="G78" s="366"/>
      <c r="H78" s="366"/>
      <c r="I78" s="366"/>
      <c r="J78" s="367"/>
    </row>
    <row r="79" spans="1:12" ht="15" thickBot="1" x14ac:dyDescent="0.4"/>
    <row r="80" spans="1:12" ht="15" thickBot="1" x14ac:dyDescent="0.4">
      <c r="A80" t="s">
        <v>128</v>
      </c>
      <c r="B80">
        <f>COUNT(Tabla9[[diámetro]:[Hermanado5]])</f>
        <v>54</v>
      </c>
      <c r="C80">
        <f>25*25</f>
        <v>625</v>
      </c>
      <c r="E80" s="55" t="s">
        <v>29</v>
      </c>
      <c r="F80" s="56"/>
      <c r="G80" s="29" t="s">
        <v>65</v>
      </c>
      <c r="H80" s="30"/>
      <c r="I80" s="28" t="s">
        <v>4</v>
      </c>
      <c r="J80" s="30"/>
    </row>
    <row r="81" spans="1:10" ht="15" thickBot="1" x14ac:dyDescent="0.4">
      <c r="B81">
        <f>B80*C81/C80</f>
        <v>864</v>
      </c>
      <c r="C81">
        <v>10000</v>
      </c>
      <c r="E81" s="52" t="s">
        <v>30</v>
      </c>
      <c r="F81" s="53" t="s">
        <v>31</v>
      </c>
      <c r="G81" s="43">
        <v>125</v>
      </c>
      <c r="H81" s="21" t="s">
        <v>23</v>
      </c>
      <c r="I81" s="13" t="s">
        <v>6</v>
      </c>
      <c r="J81" s="14" t="s">
        <v>58</v>
      </c>
    </row>
    <row r="82" spans="1:10" ht="21.5" thickBot="1" x14ac:dyDescent="0.55000000000000004">
      <c r="A82" s="27" t="s">
        <v>72</v>
      </c>
      <c r="B82" s="49" t="s">
        <v>28</v>
      </c>
      <c r="C82" s="10" t="s">
        <v>52</v>
      </c>
      <c r="D82" s="51" t="s">
        <v>147</v>
      </c>
      <c r="E82" s="48" t="s">
        <v>32</v>
      </c>
      <c r="F82" s="46" t="s">
        <v>33</v>
      </c>
      <c r="G82" s="44">
        <v>130</v>
      </c>
      <c r="H82" s="23" t="s">
        <v>25</v>
      </c>
      <c r="I82" s="15" t="s">
        <v>5</v>
      </c>
      <c r="J82" s="16" t="s">
        <v>59</v>
      </c>
    </row>
    <row r="83" spans="1:10" ht="15" thickBot="1" x14ac:dyDescent="0.4">
      <c r="A83" s="10"/>
      <c r="B83" s="12">
        <v>2</v>
      </c>
      <c r="C83" s="12">
        <v>1</v>
      </c>
      <c r="D83" s="10">
        <f>B81</f>
        <v>864</v>
      </c>
      <c r="E83" s="48" t="s">
        <v>34</v>
      </c>
      <c r="F83" s="46" t="s">
        <v>35</v>
      </c>
      <c r="G83" s="44">
        <v>46</v>
      </c>
      <c r="H83" s="23" t="s">
        <v>26</v>
      </c>
      <c r="I83" s="15" t="s">
        <v>13</v>
      </c>
      <c r="J83" s="16" t="s">
        <v>60</v>
      </c>
    </row>
    <row r="84" spans="1:10" x14ac:dyDescent="0.35">
      <c r="E84" s="45" t="s">
        <v>36</v>
      </c>
      <c r="F84" s="58" t="s">
        <v>37</v>
      </c>
      <c r="G84" s="44">
        <v>43</v>
      </c>
      <c r="H84" s="23" t="s">
        <v>27</v>
      </c>
      <c r="I84" s="15" t="s">
        <v>10</v>
      </c>
      <c r="J84" s="16" t="s">
        <v>61</v>
      </c>
    </row>
    <row r="85" spans="1:10" ht="15" thickBot="1" x14ac:dyDescent="0.4">
      <c r="E85" s="45" t="s">
        <v>16</v>
      </c>
      <c r="F85" s="46" t="s">
        <v>38</v>
      </c>
      <c r="G85" s="44">
        <v>23</v>
      </c>
      <c r="H85" s="23" t="s">
        <v>22</v>
      </c>
      <c r="I85" s="17" t="s">
        <v>12</v>
      </c>
      <c r="J85" s="18" t="s">
        <v>62</v>
      </c>
    </row>
    <row r="86" spans="1:10" x14ac:dyDescent="0.35">
      <c r="E86" s="45" t="s">
        <v>39</v>
      </c>
      <c r="F86" s="46" t="s">
        <v>40</v>
      </c>
      <c r="G86" s="44">
        <v>73</v>
      </c>
      <c r="H86" s="23" t="s">
        <v>24</v>
      </c>
    </row>
    <row r="87" spans="1:10" x14ac:dyDescent="0.35">
      <c r="E87" s="45" t="s">
        <v>41</v>
      </c>
      <c r="F87" s="46" t="s">
        <v>42</v>
      </c>
      <c r="G87" s="44">
        <v>87</v>
      </c>
      <c r="H87" s="23" t="s">
        <v>47</v>
      </c>
    </row>
    <row r="88" spans="1:10" x14ac:dyDescent="0.35">
      <c r="E88" s="45" t="s">
        <v>43</v>
      </c>
      <c r="F88" s="46" t="s">
        <v>44</v>
      </c>
      <c r="G88" s="44">
        <v>3</v>
      </c>
      <c r="H88" s="23" t="s">
        <v>48</v>
      </c>
    </row>
    <row r="89" spans="1:10" x14ac:dyDescent="0.35">
      <c r="E89" s="45" t="s">
        <v>45</v>
      </c>
      <c r="F89" s="47" t="s">
        <v>46</v>
      </c>
      <c r="G89" s="44">
        <v>82</v>
      </c>
      <c r="H89" s="23" t="s">
        <v>50</v>
      </c>
    </row>
    <row r="90" spans="1:10" x14ac:dyDescent="0.35">
      <c r="G90" s="22">
        <v>83</v>
      </c>
      <c r="H90" s="23" t="s">
        <v>49</v>
      </c>
    </row>
    <row r="91" spans="1:10" x14ac:dyDescent="0.35">
      <c r="G91" s="22">
        <v>42</v>
      </c>
      <c r="H91" s="23" t="s">
        <v>51</v>
      </c>
    </row>
    <row r="92" spans="1:10" x14ac:dyDescent="0.35">
      <c r="G92" s="22">
        <v>112</v>
      </c>
      <c r="H92" s="23" t="s">
        <v>66</v>
      </c>
    </row>
    <row r="93" spans="1:10" ht="15" thickBot="1" x14ac:dyDescent="0.4">
      <c r="G93" s="25">
        <v>113</v>
      </c>
      <c r="H93" s="26" t="s">
        <v>67</v>
      </c>
    </row>
    <row r="100" spans="1:10" x14ac:dyDescent="0.35">
      <c r="A100" s="265" t="s">
        <v>228</v>
      </c>
      <c r="B100" s="265" t="s">
        <v>206</v>
      </c>
      <c r="C100" s="265" t="s">
        <v>229</v>
      </c>
      <c r="D100" s="265" t="s">
        <v>142</v>
      </c>
      <c r="E100" s="265" t="s">
        <v>147</v>
      </c>
      <c r="F100" s="265" t="s">
        <v>225</v>
      </c>
      <c r="G100" s="265" t="s">
        <v>207</v>
      </c>
      <c r="H100" s="265" t="s">
        <v>231</v>
      </c>
      <c r="I100" s="265" t="s">
        <v>213</v>
      </c>
      <c r="J100" s="266" t="s">
        <v>215</v>
      </c>
    </row>
    <row r="101" spans="1:10" x14ac:dyDescent="0.35">
      <c r="A101" s="255" t="s">
        <v>212</v>
      </c>
      <c r="B101" s="257">
        <f>COUNTIF($D$1:$I$44,"&gt;=2,5")-COUNTIF($D$1:$I$44,"&gt;7,4")</f>
        <v>9</v>
      </c>
      <c r="C101" s="257">
        <v>5</v>
      </c>
      <c r="D101" s="257"/>
      <c r="E101" s="257">
        <f>(B101*10000)/625</f>
        <v>144</v>
      </c>
      <c r="F101" s="258">
        <f>(PI()/4)*(C101/100)^2</f>
        <v>1.9634954084936209E-3</v>
      </c>
      <c r="G101" s="258">
        <f>E101*F101</f>
        <v>0.28274333882308139</v>
      </c>
      <c r="H101" s="257"/>
      <c r="I101" s="257"/>
      <c r="J101" s="257"/>
    </row>
    <row r="102" spans="1:10" x14ac:dyDescent="0.35">
      <c r="A102" s="255" t="s">
        <v>211</v>
      </c>
      <c r="B102" s="257">
        <f>COUNTIF($D$1:$I$44,"&gt;=7,5")-COUNTIF($D$1:$I$44,"&gt;12,4")</f>
        <v>10</v>
      </c>
      <c r="C102" s="257">
        <v>10</v>
      </c>
      <c r="D102" s="257"/>
      <c r="E102" s="257">
        <f t="shared" ref="E102:E108" si="1">(B102*10000)/625</f>
        <v>160</v>
      </c>
      <c r="F102" s="258">
        <f t="shared" ref="F102:F108" si="2">(PI()/4)*(C102/100)^2</f>
        <v>7.8539816339744835E-3</v>
      </c>
      <c r="G102" s="258">
        <f t="shared" ref="G102:G108" si="3">E102*F102</f>
        <v>1.2566370614359172</v>
      </c>
      <c r="H102" s="257"/>
      <c r="I102" s="257"/>
      <c r="J102" s="257"/>
    </row>
    <row r="103" spans="1:10" x14ac:dyDescent="0.35">
      <c r="A103" s="255" t="s">
        <v>209</v>
      </c>
      <c r="B103" s="257">
        <f>COUNTIF($D$1:$I$44,"&gt;=12,5")-COUNTIF($D$1:$I$44,"&gt;17,4")</f>
        <v>19</v>
      </c>
      <c r="C103" s="257">
        <v>15</v>
      </c>
      <c r="D103" s="257"/>
      <c r="E103" s="257">
        <f t="shared" si="1"/>
        <v>304</v>
      </c>
      <c r="F103" s="258">
        <f t="shared" si="2"/>
        <v>1.7671458676442587E-2</v>
      </c>
      <c r="G103" s="258">
        <f t="shared" si="3"/>
        <v>5.3721234376385461</v>
      </c>
      <c r="H103" s="257"/>
      <c r="I103" s="257"/>
      <c r="J103" s="257"/>
    </row>
    <row r="104" spans="1:10" x14ac:dyDescent="0.35">
      <c r="A104" s="255" t="s">
        <v>208</v>
      </c>
      <c r="B104" s="257">
        <f>COUNTIF($D$1:$I$44,"&gt;=17,5")-COUNTIF($D$1:$I$44,"&gt;22,4")</f>
        <v>14</v>
      </c>
      <c r="C104" s="257">
        <v>20</v>
      </c>
      <c r="D104" s="257"/>
      <c r="E104" s="257">
        <f t="shared" si="1"/>
        <v>224</v>
      </c>
      <c r="F104" s="258">
        <f t="shared" si="2"/>
        <v>3.1415926535897934E-2</v>
      </c>
      <c r="G104" s="258">
        <f t="shared" si="3"/>
        <v>7.0371675440411376</v>
      </c>
      <c r="H104" s="257"/>
      <c r="I104" s="257"/>
      <c r="J104" s="257"/>
    </row>
    <row r="105" spans="1:10" x14ac:dyDescent="0.35">
      <c r="A105" s="255" t="s">
        <v>210</v>
      </c>
      <c r="B105" s="257">
        <f>COUNTIF($D$1:$I$44,"&gt;=22,5")-COUNTIF($D$1:$I$44,"&gt;27,4")</f>
        <v>1</v>
      </c>
      <c r="C105" s="257">
        <v>25</v>
      </c>
      <c r="D105" s="257"/>
      <c r="E105" s="257">
        <f t="shared" si="1"/>
        <v>16</v>
      </c>
      <c r="F105" s="258">
        <f t="shared" si="2"/>
        <v>4.9087385212340517E-2</v>
      </c>
      <c r="G105" s="258">
        <f t="shared" si="3"/>
        <v>0.78539816339744828</v>
      </c>
      <c r="H105" s="257"/>
      <c r="I105" s="257"/>
      <c r="J105" s="257"/>
    </row>
    <row r="106" spans="1:10" x14ac:dyDescent="0.35">
      <c r="A106" s="255" t="s">
        <v>221</v>
      </c>
      <c r="B106" s="257">
        <f>COUNTIF($D$1:$I$44,"&gt;=27,5")-COUNTIF($D$1:$I$44,"&gt;32,4")</f>
        <v>1</v>
      </c>
      <c r="C106" s="257">
        <v>30</v>
      </c>
      <c r="D106" s="257"/>
      <c r="E106" s="257">
        <f t="shared" si="1"/>
        <v>16</v>
      </c>
      <c r="F106" s="258">
        <f t="shared" si="2"/>
        <v>7.0685834705770348E-2</v>
      </c>
      <c r="G106" s="258">
        <f t="shared" si="3"/>
        <v>1.1309733552923256</v>
      </c>
      <c r="H106" s="257"/>
      <c r="I106" s="257"/>
      <c r="J106" s="257"/>
    </row>
    <row r="107" spans="1:10" x14ac:dyDescent="0.35">
      <c r="A107" s="255" t="s">
        <v>222</v>
      </c>
      <c r="B107" s="257">
        <f>COUNTIF($D$1:$I$44,"&gt;=32,5")-COUNTIF($D$1:$I$44,"&gt;37,4")</f>
        <v>0</v>
      </c>
      <c r="C107" s="257">
        <v>35</v>
      </c>
      <c r="D107" s="257"/>
      <c r="E107" s="257">
        <f t="shared" si="1"/>
        <v>0</v>
      </c>
      <c r="F107" s="258">
        <f t="shared" si="2"/>
        <v>9.6211275016187398E-2</v>
      </c>
      <c r="G107" s="258">
        <f t="shared" si="3"/>
        <v>0</v>
      </c>
      <c r="H107" s="257"/>
      <c r="I107" s="257"/>
      <c r="J107" s="257"/>
    </row>
    <row r="108" spans="1:10" x14ac:dyDescent="0.35">
      <c r="A108" s="255" t="s">
        <v>223</v>
      </c>
      <c r="B108" s="257">
        <f>COUNTIF($D$1:$I$44,"&gt;=37,5")-COUNTIF($D$1:$I$44,"&gt;42,4")</f>
        <v>0</v>
      </c>
      <c r="C108" s="257">
        <v>40</v>
      </c>
      <c r="D108" s="257"/>
      <c r="E108" s="257">
        <f t="shared" si="1"/>
        <v>0</v>
      </c>
      <c r="F108" s="258">
        <f t="shared" si="2"/>
        <v>0.12566370614359174</v>
      </c>
      <c r="G108" s="258">
        <f t="shared" si="3"/>
        <v>0</v>
      </c>
      <c r="H108" s="257"/>
      <c r="I108" s="257"/>
      <c r="J108" s="257"/>
    </row>
    <row r="109" spans="1:10" x14ac:dyDescent="0.35">
      <c r="A109" s="267" t="s">
        <v>146</v>
      </c>
      <c r="B109" s="268">
        <f>SUBTOTAL(109,Tabla19[NÚMERO DE PIES])</f>
        <v>54</v>
      </c>
      <c r="C109" s="268"/>
      <c r="D109" s="268"/>
      <c r="E109" s="268">
        <f>SUBTOTAL(109,Tabla19[pies/ha])</f>
        <v>864</v>
      </c>
      <c r="F109" s="262"/>
      <c r="G109" s="264">
        <f>SUBTOTAL(109,Tabla19[G (m2/ha.)])</f>
        <v>15.865042900628456</v>
      </c>
      <c r="H109" s="268"/>
      <c r="I109" s="268"/>
      <c r="J109" s="268">
        <f>SUBTOTAL(103,Tabla19[AB (m2) final])</f>
        <v>0</v>
      </c>
    </row>
  </sheetData>
  <mergeCells count="1">
    <mergeCell ref="A78:J78"/>
  </mergeCells>
  <pageMargins left="0.7" right="0.7" top="0.75" bottom="0.75" header="0.3" footer="0.3"/>
  <pageSetup paperSize="8" scale="65" orientation="portrait" r:id="rId1"/>
  <headerFooter>
    <oddHeader>&amp;C
Parcela &amp;"-,Negrita"&amp;K09+000B2</oddHeader>
  </headerFooter>
  <drawing r:id="rId2"/>
  <tableParts count="2">
    <tablePart r:id="rId3"/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totales1</vt:lpstr>
      <vt:lpstr>A1</vt:lpstr>
      <vt:lpstr>A2</vt:lpstr>
      <vt:lpstr>A3</vt:lpstr>
      <vt:lpstr>A4</vt:lpstr>
      <vt:lpstr>A5</vt:lpstr>
      <vt:lpstr>A6</vt:lpstr>
      <vt:lpstr>B1</vt:lpstr>
      <vt:lpstr>B2</vt:lpstr>
      <vt:lpstr>B3</vt:lpstr>
      <vt:lpstr>B4</vt:lpstr>
      <vt:lpstr>B5</vt:lpstr>
      <vt:lpstr>B6</vt:lpstr>
      <vt:lpstr>C1</vt:lpstr>
      <vt:lpstr>C2</vt:lpstr>
      <vt:lpstr>C3</vt:lpstr>
      <vt:lpstr>C4</vt:lpstr>
      <vt:lpstr>C5</vt:lpstr>
      <vt:lpstr>C6</vt:lpstr>
      <vt:lpstr>totales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parcelas permanentes</dc:title>
  <dc:creator/>
  <cp:lastModifiedBy/>
  <dcterms:created xsi:type="dcterms:W3CDTF">2015-06-05T18:19:34Z</dcterms:created>
  <dcterms:modified xsi:type="dcterms:W3CDTF">2021-08-29T08:41:30Z</dcterms:modified>
</cp:coreProperties>
</file>