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24226"/>
  <mc:AlternateContent xmlns:mc="http://schemas.openxmlformats.org/markup-compatibility/2006">
    <mc:Choice Requires="x15">
      <x15ac:absPath xmlns:x15ac="http://schemas.microsoft.com/office/spreadsheetml/2010/11/ac" url="S:\COMUN\04. PRTR\GENERAL\MANUAL - HOJAS EXCEL -GUC\PAGINA WEB GVA\2023\WEB - Docs PRTR\"/>
    </mc:Choice>
  </mc:AlternateContent>
  <xr:revisionPtr revIDLastSave="0" documentId="8_{5CBB40C0-7836-426B-B59C-3FFE10CDC74B}" xr6:coauthVersionLast="47" xr6:coauthVersionMax="47" xr10:uidLastSave="{00000000-0000-0000-0000-000000000000}"/>
  <bookViews>
    <workbookView xWindow="28680" yWindow="-210" windowWidth="29040" windowHeight="15720" xr2:uid="{00000000-000D-0000-FFFF-FFFF00000000}"/>
  </bookViews>
  <sheets>
    <sheet name="INSTRUCCIONES" sheetId="10" r:id="rId1"/>
    <sheet name="DATOS GENERALES" sheetId="3" r:id="rId2"/>
    <sheet name="1 EXTRACCIÓN DE MATERIALES" sheetId="4" r:id="rId3"/>
    <sheet name="2 TRATAMIENTO DEL MATERIAL" sheetId="5" r:id="rId4"/>
    <sheet name="3 EMISIONES MATERIAL APILADO" sheetId="11" r:id="rId5"/>
    <sheet name="4 TRÁNSITO VEHÍCULOS PISTAS" sheetId="12" r:id="rId6"/>
    <sheet name="5 TRÁNSITO VEHÍCULOS PAVIMENTO" sheetId="8" r:id="rId7"/>
    <sheet name="6 DECLARACIÓN FINAL"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8" l="1"/>
  <c r="M9" i="8"/>
  <c r="M10" i="8"/>
  <c r="M11" i="8"/>
  <c r="M12" i="8"/>
  <c r="M13" i="8"/>
  <c r="M14" i="8"/>
  <c r="M15" i="8"/>
  <c r="M16" i="8"/>
  <c r="M17" i="8"/>
  <c r="M18" i="8"/>
  <c r="L8" i="8"/>
  <c r="L9" i="8"/>
  <c r="L10" i="8"/>
  <c r="L11" i="8"/>
  <c r="L12" i="8"/>
  <c r="L13" i="8"/>
  <c r="L14" i="8"/>
  <c r="L15" i="8"/>
  <c r="L16" i="8"/>
  <c r="L17" i="8"/>
  <c r="L18" i="8"/>
  <c r="M11" i="12" l="1"/>
  <c r="M12" i="12"/>
  <c r="M13" i="12"/>
  <c r="M14" i="12"/>
  <c r="M15" i="12"/>
  <c r="M16" i="12"/>
  <c r="M17" i="12"/>
  <c r="M18" i="12"/>
  <c r="M19" i="12"/>
  <c r="M20" i="12"/>
  <c r="M21" i="12"/>
  <c r="M22" i="12"/>
  <c r="L11" i="12"/>
  <c r="L12" i="12"/>
  <c r="L13" i="12"/>
  <c r="L14" i="12"/>
  <c r="L15" i="12"/>
  <c r="L16" i="12"/>
  <c r="L17" i="12"/>
  <c r="L18" i="12"/>
  <c r="L19" i="12"/>
  <c r="L20" i="12"/>
  <c r="L21" i="12"/>
  <c r="L22" i="12"/>
  <c r="W11" i="12" l="1"/>
  <c r="W12" i="12"/>
  <c r="W13" i="12"/>
  <c r="W14" i="12"/>
  <c r="W15" i="12"/>
  <c r="W16" i="12"/>
  <c r="W17" i="12"/>
  <c r="W18" i="12"/>
  <c r="W19" i="12"/>
  <c r="W20" i="12"/>
  <c r="W21" i="12"/>
  <c r="W22" i="12"/>
  <c r="W10" i="12"/>
  <c r="I10" i="12"/>
  <c r="I11" i="12" s="1"/>
  <c r="I12" i="12" s="1"/>
  <c r="I13" i="12" s="1"/>
  <c r="I14" i="12" s="1"/>
  <c r="I15" i="12" s="1"/>
  <c r="I16" i="12" s="1"/>
  <c r="I17" i="12" s="1"/>
  <c r="I18" i="12" s="1"/>
  <c r="I19" i="12" s="1"/>
  <c r="I20" i="12" s="1"/>
  <c r="I21" i="12" s="1"/>
  <c r="I22" i="12" s="1"/>
  <c r="H10" i="12"/>
  <c r="H11" i="12" s="1"/>
  <c r="H12" i="12" s="1"/>
  <c r="H13" i="12" s="1"/>
  <c r="H14" i="12" s="1"/>
  <c r="H15" i="12" s="1"/>
  <c r="H16" i="12" s="1"/>
  <c r="H17" i="12" s="1"/>
  <c r="H18" i="12" s="1"/>
  <c r="H19" i="12" s="1"/>
  <c r="H20" i="12" s="1"/>
  <c r="H21" i="12" s="1"/>
  <c r="H22" i="12" s="1"/>
  <c r="H7" i="8" l="1"/>
  <c r="H8" i="8"/>
  <c r="H9" i="8"/>
  <c r="H10" i="8"/>
  <c r="H11" i="8"/>
  <c r="H12" i="8"/>
  <c r="H13" i="8"/>
  <c r="H14" i="8"/>
  <c r="H15" i="8"/>
  <c r="H16" i="8"/>
  <c r="H17" i="8"/>
  <c r="H18" i="8"/>
  <c r="H6" i="8"/>
  <c r="I7" i="8"/>
  <c r="I8" i="8"/>
  <c r="I9" i="8"/>
  <c r="I10" i="8"/>
  <c r="I11" i="8"/>
  <c r="I12" i="8"/>
  <c r="I13" i="8"/>
  <c r="I14" i="8"/>
  <c r="I15" i="8"/>
  <c r="I16" i="8"/>
  <c r="I17" i="8"/>
  <c r="I18" i="8"/>
  <c r="I6" i="8"/>
  <c r="Y22" i="12" l="1"/>
  <c r="X22" i="12"/>
  <c r="U22" i="12"/>
  <c r="T22" i="12"/>
  <c r="S22" i="12"/>
  <c r="Q22" i="12"/>
  <c r="P22" i="12"/>
  <c r="O22" i="12"/>
  <c r="N22" i="12"/>
  <c r="K22" i="12"/>
  <c r="J22" i="12"/>
  <c r="G22" i="12"/>
  <c r="Y21" i="12"/>
  <c r="X21" i="12"/>
  <c r="U21" i="12"/>
  <c r="T21" i="12"/>
  <c r="S21" i="12"/>
  <c r="Q21" i="12"/>
  <c r="P21" i="12"/>
  <c r="O21" i="12"/>
  <c r="N21" i="12"/>
  <c r="K21" i="12"/>
  <c r="J21" i="12"/>
  <c r="G21" i="12"/>
  <c r="Y20" i="12"/>
  <c r="X20" i="12"/>
  <c r="U20" i="12"/>
  <c r="T20" i="12"/>
  <c r="S20" i="12"/>
  <c r="Q20" i="12"/>
  <c r="P20" i="12"/>
  <c r="O20" i="12"/>
  <c r="N20" i="12"/>
  <c r="K20" i="12"/>
  <c r="J20" i="12"/>
  <c r="G20" i="12"/>
  <c r="Y19" i="12"/>
  <c r="X19" i="12"/>
  <c r="U19" i="12"/>
  <c r="T19" i="12"/>
  <c r="S19" i="12"/>
  <c r="Q19" i="12"/>
  <c r="P19" i="12"/>
  <c r="O19" i="12"/>
  <c r="N19" i="12"/>
  <c r="K19" i="12"/>
  <c r="J19" i="12"/>
  <c r="G19" i="12"/>
  <c r="Y18" i="12"/>
  <c r="X18" i="12"/>
  <c r="U18" i="12"/>
  <c r="T18" i="12"/>
  <c r="S18" i="12"/>
  <c r="Q18" i="12"/>
  <c r="P18" i="12"/>
  <c r="O18" i="12"/>
  <c r="N18" i="12"/>
  <c r="K18" i="12"/>
  <c r="J18" i="12"/>
  <c r="G18" i="12"/>
  <c r="Y17" i="12"/>
  <c r="X17" i="12"/>
  <c r="U17" i="12"/>
  <c r="T17" i="12"/>
  <c r="S17" i="12"/>
  <c r="Q17" i="12"/>
  <c r="P17" i="12"/>
  <c r="O17" i="12"/>
  <c r="N17" i="12"/>
  <c r="K17" i="12"/>
  <c r="J17" i="12"/>
  <c r="G17" i="12"/>
  <c r="Y16" i="12"/>
  <c r="X16" i="12"/>
  <c r="U16" i="12"/>
  <c r="T16" i="12"/>
  <c r="S16" i="12"/>
  <c r="Q16" i="12"/>
  <c r="P16" i="12"/>
  <c r="O16" i="12"/>
  <c r="N16" i="12"/>
  <c r="K16" i="12"/>
  <c r="J16" i="12"/>
  <c r="G16" i="12"/>
  <c r="Y15" i="12"/>
  <c r="X15" i="12"/>
  <c r="U15" i="12"/>
  <c r="T15" i="12"/>
  <c r="S15" i="12"/>
  <c r="Q15" i="12"/>
  <c r="P15" i="12"/>
  <c r="O15" i="12"/>
  <c r="N15" i="12"/>
  <c r="K15" i="12"/>
  <c r="J15" i="12"/>
  <c r="G15" i="12"/>
  <c r="Y14" i="12"/>
  <c r="X14" i="12"/>
  <c r="U14" i="12"/>
  <c r="T14" i="12"/>
  <c r="S14" i="12"/>
  <c r="Q14" i="12"/>
  <c r="P14" i="12"/>
  <c r="O14" i="12"/>
  <c r="N14" i="12"/>
  <c r="K14" i="12"/>
  <c r="J14" i="12"/>
  <c r="G14" i="12"/>
  <c r="Y13" i="12"/>
  <c r="X13" i="12"/>
  <c r="U13" i="12"/>
  <c r="T13" i="12"/>
  <c r="S13" i="12"/>
  <c r="Q13" i="12"/>
  <c r="P13" i="12"/>
  <c r="O13" i="12"/>
  <c r="N13" i="12"/>
  <c r="K13" i="12"/>
  <c r="J13" i="12"/>
  <c r="G13" i="12"/>
  <c r="Y12" i="12"/>
  <c r="X12" i="12"/>
  <c r="U12" i="12"/>
  <c r="T12" i="12"/>
  <c r="S12" i="12"/>
  <c r="Q12" i="12"/>
  <c r="P12" i="12"/>
  <c r="O12" i="12"/>
  <c r="N12" i="12"/>
  <c r="K12" i="12"/>
  <c r="J12" i="12"/>
  <c r="G12" i="12"/>
  <c r="Y11" i="12"/>
  <c r="X11" i="12"/>
  <c r="U11" i="12"/>
  <c r="T11" i="12"/>
  <c r="S11" i="12"/>
  <c r="Q11" i="12"/>
  <c r="P11" i="12"/>
  <c r="O11" i="12"/>
  <c r="N11" i="12"/>
  <c r="K11" i="12"/>
  <c r="J11" i="12"/>
  <c r="G11" i="12"/>
  <c r="S10" i="12"/>
  <c r="K10" i="12"/>
  <c r="J10" i="12"/>
  <c r="G10" i="12"/>
  <c r="L12" i="11"/>
  <c r="F12" i="11"/>
  <c r="H12" i="11" s="1"/>
  <c r="L11" i="11"/>
  <c r="F11" i="11"/>
  <c r="H11" i="11" s="1"/>
  <c r="L10" i="11"/>
  <c r="F10" i="11"/>
  <c r="G10" i="11" s="1"/>
  <c r="L9" i="11"/>
  <c r="F9" i="11"/>
  <c r="E9" i="11"/>
  <c r="E10" i="11" s="1"/>
  <c r="E11" i="11" s="1"/>
  <c r="E12" i="11" s="1"/>
  <c r="L8" i="11"/>
  <c r="F8" i="11"/>
  <c r="H8" i="11" s="1"/>
  <c r="M10" i="12" l="1"/>
  <c r="L10" i="12"/>
  <c r="O10" i="12"/>
  <c r="Q10" i="12" s="1"/>
  <c r="U10" i="12" s="1"/>
  <c r="Y10" i="12" s="1"/>
  <c r="E31" i="12" s="1"/>
  <c r="E8" i="9" s="1"/>
  <c r="N10" i="12"/>
  <c r="P10" i="12" s="1"/>
  <c r="T10" i="12" s="1"/>
  <c r="X10" i="12" s="1"/>
  <c r="D31" i="12" s="1"/>
  <c r="D8" i="9" s="1"/>
  <c r="H9" i="11"/>
  <c r="J9" i="11" s="1"/>
  <c r="H10" i="11"/>
  <c r="J10" i="11" s="1"/>
  <c r="N12" i="11"/>
  <c r="J12" i="11"/>
  <c r="N8" i="11"/>
  <c r="J8" i="11"/>
  <c r="I10" i="11"/>
  <c r="M10" i="11"/>
  <c r="N11" i="11"/>
  <c r="J11" i="11"/>
  <c r="G8" i="11"/>
  <c r="G12" i="11"/>
  <c r="G11" i="11"/>
  <c r="G9" i="11"/>
  <c r="N9" i="11" l="1"/>
  <c r="N10" i="11"/>
  <c r="M11" i="11"/>
  <c r="I11" i="11"/>
  <c r="M12" i="11"/>
  <c r="I12" i="11"/>
  <c r="M9" i="11"/>
  <c r="I9" i="11"/>
  <c r="M8" i="11"/>
  <c r="I8" i="11"/>
  <c r="D19" i="11" l="1"/>
  <c r="D7" i="9" s="1"/>
  <c r="E19" i="11"/>
  <c r="E7" i="9" s="1"/>
  <c r="G7" i="8"/>
  <c r="G8" i="8"/>
  <c r="G9" i="8"/>
  <c r="G10" i="8"/>
  <c r="G11" i="8"/>
  <c r="G12" i="8"/>
  <c r="G13" i="8"/>
  <c r="G14" i="8"/>
  <c r="G15" i="8"/>
  <c r="G16" i="8"/>
  <c r="G17" i="8"/>
  <c r="G18" i="8"/>
  <c r="G6" i="8"/>
  <c r="K33" i="5"/>
  <c r="K34" i="5"/>
  <c r="K35" i="5"/>
  <c r="K32" i="5"/>
  <c r="K29" i="5"/>
  <c r="D17" i="4" l="1"/>
  <c r="E5" i="9" s="1"/>
  <c r="C17" i="4"/>
  <c r="S7" i="8"/>
  <c r="S8" i="8"/>
  <c r="S9" i="8"/>
  <c r="S10" i="8"/>
  <c r="S11" i="8"/>
  <c r="S12" i="8"/>
  <c r="S13" i="8"/>
  <c r="S14" i="8"/>
  <c r="S15" i="8"/>
  <c r="S16" i="8"/>
  <c r="S17" i="8"/>
  <c r="S18" i="8"/>
  <c r="S6" i="8"/>
  <c r="U18" i="8"/>
  <c r="T18" i="8"/>
  <c r="Q18" i="8"/>
  <c r="P18" i="8"/>
  <c r="O18" i="8"/>
  <c r="N18" i="8"/>
  <c r="K18" i="8"/>
  <c r="J18" i="8"/>
  <c r="U17" i="8"/>
  <c r="T17" i="8"/>
  <c r="Q17" i="8"/>
  <c r="P17" i="8"/>
  <c r="O17" i="8"/>
  <c r="N17" i="8"/>
  <c r="K17" i="8"/>
  <c r="J17" i="8"/>
  <c r="U16" i="8"/>
  <c r="T16" i="8"/>
  <c r="Q16" i="8"/>
  <c r="P16" i="8"/>
  <c r="O16" i="8"/>
  <c r="N16" i="8"/>
  <c r="K16" i="8"/>
  <c r="J16" i="8"/>
  <c r="U15" i="8"/>
  <c r="T15" i="8"/>
  <c r="Q15" i="8"/>
  <c r="P15" i="8"/>
  <c r="O15" i="8"/>
  <c r="N15" i="8"/>
  <c r="K15" i="8"/>
  <c r="J15" i="8"/>
  <c r="U14" i="8"/>
  <c r="T14" i="8"/>
  <c r="Q14" i="8"/>
  <c r="P14" i="8"/>
  <c r="O14" i="8"/>
  <c r="N14" i="8"/>
  <c r="K14" i="8"/>
  <c r="J14" i="8"/>
  <c r="U13" i="8"/>
  <c r="T13" i="8"/>
  <c r="Q13" i="8"/>
  <c r="P13" i="8"/>
  <c r="O13" i="8"/>
  <c r="N13" i="8"/>
  <c r="K13" i="8"/>
  <c r="J13" i="8"/>
  <c r="U12" i="8"/>
  <c r="T12" i="8"/>
  <c r="Q12" i="8"/>
  <c r="P12" i="8"/>
  <c r="O12" i="8"/>
  <c r="N12" i="8"/>
  <c r="K12" i="8"/>
  <c r="J12" i="8"/>
  <c r="U11" i="8"/>
  <c r="T11" i="8"/>
  <c r="Q11" i="8"/>
  <c r="P11" i="8"/>
  <c r="O11" i="8"/>
  <c r="N11" i="8"/>
  <c r="K11" i="8"/>
  <c r="J11" i="8"/>
  <c r="U10" i="8"/>
  <c r="T10" i="8"/>
  <c r="Q10" i="8"/>
  <c r="P10" i="8"/>
  <c r="O10" i="8"/>
  <c r="N10" i="8"/>
  <c r="K10" i="8"/>
  <c r="J10" i="8"/>
  <c r="U9" i="8"/>
  <c r="T9" i="8"/>
  <c r="Q9" i="8"/>
  <c r="P9" i="8"/>
  <c r="O9" i="8"/>
  <c r="N9" i="8"/>
  <c r="K9" i="8"/>
  <c r="J9" i="8"/>
  <c r="U8" i="8"/>
  <c r="T8" i="8"/>
  <c r="Q8" i="8"/>
  <c r="P8" i="8"/>
  <c r="O8" i="8"/>
  <c r="N8" i="8"/>
  <c r="K8" i="8"/>
  <c r="J8" i="8"/>
  <c r="K7" i="8"/>
  <c r="J7" i="8"/>
  <c r="K6" i="8"/>
  <c r="J6" i="8"/>
  <c r="L6" i="8" l="1"/>
  <c r="N6" i="8" s="1"/>
  <c r="P6" i="8" s="1"/>
  <c r="T6" i="8" s="1"/>
  <c r="M6" i="8"/>
  <c r="O6" i="8" s="1"/>
  <c r="Q6" i="8" s="1"/>
  <c r="U6" i="8" s="1"/>
  <c r="M7" i="8"/>
  <c r="O7" i="8" s="1"/>
  <c r="Q7" i="8" s="1"/>
  <c r="U7" i="8" s="1"/>
  <c r="L7" i="8"/>
  <c r="N7" i="8" s="1"/>
  <c r="P7" i="8" s="1"/>
  <c r="T7" i="8" s="1"/>
  <c r="D27" i="8" l="1"/>
  <c r="D9" i="9" s="1"/>
  <c r="E27" i="8"/>
  <c r="E9" i="9" s="1"/>
  <c r="J35" i="5"/>
  <c r="J34" i="5"/>
  <c r="J33" i="5"/>
  <c r="J32" i="5"/>
  <c r="K31" i="5"/>
  <c r="J31" i="5"/>
  <c r="K30" i="5"/>
  <c r="K36" i="5" s="1"/>
  <c r="J30" i="5"/>
  <c r="J29" i="5"/>
  <c r="J17" i="5"/>
  <c r="J16" i="5"/>
  <c r="K15" i="5"/>
  <c r="J15" i="5"/>
  <c r="K14" i="5"/>
  <c r="J14" i="5"/>
  <c r="K13" i="5"/>
  <c r="J13" i="5"/>
  <c r="K12" i="5"/>
  <c r="J12" i="5"/>
  <c r="K11" i="5"/>
  <c r="J11" i="5"/>
  <c r="K10" i="5"/>
  <c r="J10" i="5"/>
  <c r="K9" i="5"/>
  <c r="J9" i="5"/>
  <c r="D5" i="9"/>
  <c r="J36" i="5" l="1"/>
  <c r="J18" i="5"/>
  <c r="K18" i="5"/>
  <c r="C40" i="5" l="1"/>
  <c r="D6" i="9" s="1"/>
  <c r="D10" i="9" s="1"/>
  <c r="D40" i="5"/>
  <c r="E6" i="9" s="1"/>
  <c r="E10" i="9" s="1"/>
</calcChain>
</file>

<file path=xl/sharedStrings.xml><?xml version="1.0" encoding="utf-8"?>
<sst xmlns="http://schemas.openxmlformats.org/spreadsheetml/2006/main" count="557" uniqueCount="269">
  <si>
    <t xml:space="preserve">INSTRUCCIONES DE USO </t>
  </si>
  <si>
    <t>No olvide adjuntar este documento como justificación de su notificación en la plataforma de PRTR-España 
"gestión documental".</t>
  </si>
  <si>
    <r>
      <t xml:space="preserve">Esta hoja de Excel se ha diseñado para facilitar los </t>
    </r>
    <r>
      <rPr>
        <b/>
        <sz val="12"/>
        <color indexed="8"/>
        <rFont val="Calibri"/>
        <family val="2"/>
      </rPr>
      <t>cálculos</t>
    </r>
    <r>
      <rPr>
        <sz val="12"/>
        <color indexed="8"/>
        <rFont val="Calibri"/>
        <family val="2"/>
      </rPr>
      <t xml:space="preserve"> </t>
    </r>
    <r>
      <rPr>
        <b/>
        <sz val="12"/>
        <color indexed="8"/>
        <rFont val="Calibri"/>
        <family val="2"/>
      </rPr>
      <t>de las cargas contaminantes emitidas a la atmósfera en explotaciones mineras</t>
    </r>
    <r>
      <rPr>
        <sz val="12"/>
        <color rgb="FF000000"/>
        <rFont val="Calibri"/>
        <family val="2"/>
      </rPr>
      <t xml:space="preserve"> según la extracción del material.</t>
    </r>
  </si>
  <si>
    <t>Tipología de explotaciones mineras según extracción del material:</t>
  </si>
  <si>
    <t>• Canteras se refiere a las explotaciones de rocas industriales y ornamentales.</t>
  </si>
  <si>
    <t>• Graveras se refiere al arranque y la extracción de materiales detríticos, tales como las arenas y las gravas, albergados en los depósitos de valles y terrazas de los ríos, por ejemplo para su uso en construcción.</t>
  </si>
  <si>
    <t>• Minería metálica se refiere a la minería relacionada con la extracción en yacimientos de metales, bien de forma diferenciada o bien como concentrados de más de un metal. Se necesita el uso de explosivos para la extracción de mineral.</t>
  </si>
  <si>
    <t>• Minería energética se refiere a la minería del carbón (turba, lignito, hulla y antracita) cuyas explotaciones a cielo abierto suelen emplear cortas similares a la minería metálica.</t>
  </si>
  <si>
    <r>
      <t xml:space="preserve">Las emisiones de polvo en canteras y graveras provienen de </t>
    </r>
    <r>
      <rPr>
        <b/>
        <sz val="12"/>
        <color theme="1"/>
        <rFont val="Calibri"/>
        <family val="2"/>
        <scheme val="minor"/>
      </rPr>
      <t xml:space="preserve">múltiples fuentes puntuales </t>
    </r>
    <r>
      <rPr>
        <sz val="12"/>
        <color theme="1"/>
        <rFont val="Calibri"/>
        <family val="2"/>
        <scheme val="minor"/>
      </rPr>
      <t>diseminadas en un área extensa y cambiante con el tiempo y con la operación de explotación. Están constituidos por partículas minerales gruesas, principalmente en la fracción PM</t>
    </r>
    <r>
      <rPr>
        <vertAlign val="subscript"/>
        <sz val="12"/>
        <color theme="1"/>
        <rFont val="Calibri"/>
        <family val="2"/>
        <scheme val="minor"/>
      </rPr>
      <t>10</t>
    </r>
    <r>
      <rPr>
        <sz val="12"/>
        <color theme="1"/>
        <rFont val="Calibri"/>
        <family val="2"/>
        <scheme val="minor"/>
      </rPr>
      <t>. La fracción PM</t>
    </r>
    <r>
      <rPr>
        <vertAlign val="subscript"/>
        <sz val="12"/>
        <color theme="1"/>
        <rFont val="Calibri"/>
        <family val="2"/>
        <scheme val="minor"/>
      </rPr>
      <t>2,5</t>
    </r>
    <r>
      <rPr>
        <sz val="12"/>
        <color theme="1"/>
        <rFont val="Calibri"/>
        <family val="2"/>
        <scheme val="minor"/>
      </rPr>
      <t xml:space="preserve"> es más pequeña.</t>
    </r>
  </si>
  <si>
    <t>Las fuentes de emisión son las siguientes:</t>
  </si>
  <si>
    <t>1. Perforación y voladura</t>
  </si>
  <si>
    <r>
      <rPr>
        <b/>
        <sz val="12"/>
        <color rgb="FF008000"/>
        <rFont val="Calibri"/>
        <family val="2"/>
        <scheme val="minor"/>
      </rPr>
      <t>2. Tratamiento del material</t>
    </r>
    <r>
      <rPr>
        <sz val="12"/>
        <color theme="1"/>
        <rFont val="Calibri"/>
        <family val="2"/>
        <scheme val="minor"/>
      </rPr>
      <t>: puntos de trituración, cribado y transferencia</t>
    </r>
  </si>
  <si>
    <t>3. Transporte interno</t>
  </si>
  <si>
    <r>
      <rPr>
        <b/>
        <sz val="12"/>
        <color rgb="FF008000"/>
        <rFont val="Calibri"/>
        <family val="2"/>
        <scheme val="minor"/>
      </rPr>
      <t>4. Almacenamiento, carga y descarga</t>
    </r>
    <r>
      <rPr>
        <sz val="12"/>
        <color theme="1"/>
        <rFont val="Calibri"/>
        <family val="2"/>
        <scheme val="minor"/>
      </rPr>
      <t xml:space="preserve"> del material apilado</t>
    </r>
  </si>
  <si>
    <t>5. Erosión eólica de los acopios</t>
  </si>
  <si>
    <t>Los factores de emisión se calculan para cada fuente de emisión por separado. El tamaño de la cantera no afecta el método que se aplica para calcular las emisiones de partículas, pero los pasos necesarios para extraer y procesar el material dependen de la naturaleza del yacimiento. La siguiente tabla indica qué pasos se requieren para cada tipo de depósito.</t>
  </si>
  <si>
    <t>Naturaleza del depósito:</t>
  </si>
  <si>
    <r>
      <rPr>
        <sz val="12"/>
        <color theme="1"/>
        <rFont val="Calibri"/>
        <family val="2"/>
      </rPr>
      <t>•</t>
    </r>
    <r>
      <rPr>
        <sz val="12"/>
        <color theme="1"/>
        <rFont val="Calibri"/>
        <family val="2"/>
        <scheme val="minor"/>
      </rPr>
      <t xml:space="preserve"> Roca triturada</t>
    </r>
  </si>
  <si>
    <r>
      <rPr>
        <sz val="12"/>
        <color theme="1"/>
        <rFont val="Calibri"/>
        <family val="2"/>
      </rPr>
      <t>•</t>
    </r>
    <r>
      <rPr>
        <sz val="12"/>
        <color theme="1"/>
        <rFont val="Calibri"/>
        <family val="2"/>
        <scheme val="minor"/>
      </rPr>
      <t xml:space="preserve"> Arena y grava</t>
    </r>
  </si>
  <si>
    <r>
      <rPr>
        <sz val="12"/>
        <color theme="1"/>
        <rFont val="Calibri"/>
        <family val="2"/>
      </rPr>
      <t>•</t>
    </r>
    <r>
      <rPr>
        <sz val="12"/>
        <color theme="1"/>
        <rFont val="Calibri"/>
        <family val="2"/>
        <scheme val="minor"/>
      </rPr>
      <t xml:space="preserve"> Áridos reciclados</t>
    </r>
  </si>
  <si>
    <t>Las metodologías utilizadas para calcular los factores de emisión se basan principalmente en la metodología AP42 (US EPA) y en l'EMEP/EEA air pollutant emission inventory guidebook 2019 (EEA Report No 13/2019).</t>
  </si>
  <si>
    <t>Identificación del Complejo Industrial (CI)</t>
  </si>
  <si>
    <t>Nombre del Centro:</t>
  </si>
  <si>
    <t>NIMA del Centro:</t>
  </si>
  <si>
    <t>Código PRTR:</t>
  </si>
  <si>
    <t>Nombre de la instalación:</t>
  </si>
  <si>
    <t>Año de la declaración:</t>
  </si>
  <si>
    <t>Provincia de ubicación:</t>
  </si>
  <si>
    <t>Contacto directo con la persona responsable de la declaración</t>
  </si>
  <si>
    <t>Nombre y apellidos</t>
  </si>
  <si>
    <t>Teléfono</t>
  </si>
  <si>
    <t>Correo electrónico</t>
  </si>
  <si>
    <t>Tipo de material extraído y producción anual</t>
  </si>
  <si>
    <t>Tipo de material extraído</t>
  </si>
  <si>
    <t>Produccion anual (t/año)</t>
  </si>
  <si>
    <t>Unidad de trituración</t>
  </si>
  <si>
    <t>Observaciones y otros datos</t>
  </si>
  <si>
    <t>Sí</t>
  </si>
  <si>
    <t>No. No se hace tratamiento de material (pestaña 2) o acopios (pestaña 3)</t>
  </si>
  <si>
    <t>¿La instalación dispone de unidad de trituración?</t>
  </si>
  <si>
    <t>Método de extracción</t>
  </si>
  <si>
    <t>Cantidad (t/año)</t>
  </si>
  <si>
    <t>FE PM10 (kg/t)</t>
  </si>
  <si>
    <t>FE PST (kg/t)</t>
  </si>
  <si>
    <t>Perforación húmeda (roca sin fragmentar)</t>
  </si>
  <si>
    <t>ND</t>
  </si>
  <si>
    <r>
      <t>Área de voladura (m</t>
    </r>
    <r>
      <rPr>
        <vertAlign val="superscript"/>
        <sz val="10"/>
        <rFont val="Arial"/>
        <family val="2"/>
      </rPr>
      <t>2</t>
    </r>
    <r>
      <rPr>
        <sz val="10"/>
        <rFont val="Arial"/>
        <family val="2"/>
      </rPr>
      <t>)</t>
    </r>
  </si>
  <si>
    <t>FE PM10 (kg/voladura)</t>
  </si>
  <si>
    <t>FE PST (kg/voladura)</t>
  </si>
  <si>
    <t>Voladura</t>
  </si>
  <si>
    <t>Resultados</t>
  </si>
  <si>
    <r>
      <t>PM</t>
    </r>
    <r>
      <rPr>
        <b/>
        <vertAlign val="subscript"/>
        <sz val="12"/>
        <rFont val="Arial"/>
        <family val="2"/>
      </rPr>
      <t>10</t>
    </r>
    <r>
      <rPr>
        <b/>
        <sz val="12"/>
        <rFont val="Arial"/>
        <family val="2"/>
      </rPr>
      <t xml:space="preserve"> (kg/año)</t>
    </r>
  </si>
  <si>
    <t>PST (kg/año)</t>
  </si>
  <si>
    <t>Carga contaminante (kg/año)</t>
  </si>
  <si>
    <t>Tratamiento del material - Operaciones de trituración y molienda de rocas en canteras</t>
  </si>
  <si>
    <t>SIN TÉCNICAS DE CONTROL</t>
  </si>
  <si>
    <t>Operación</t>
  </si>
  <si>
    <t>Cantidad de material procesado anualmente en la operación de tratamiento (t/año)</t>
  </si>
  <si>
    <r>
      <t>Carga contaminante PM</t>
    </r>
    <r>
      <rPr>
        <vertAlign val="subscript"/>
        <sz val="10"/>
        <rFont val="Arial"/>
        <family val="2"/>
      </rPr>
      <t>10</t>
    </r>
    <r>
      <rPr>
        <sz val="10"/>
        <rFont val="Arial"/>
        <family val="2"/>
      </rPr>
      <t xml:space="preserve"> (kg/año)</t>
    </r>
  </si>
  <si>
    <t>Carga contaminante PST (kg/año)</t>
  </si>
  <si>
    <t>Tamizador</t>
  </si>
  <si>
    <t>Triturador terciario</t>
  </si>
  <si>
    <t>Triturador secundario</t>
  </si>
  <si>
    <t>Triturador primario</t>
  </si>
  <si>
    <t>Triturador de finos</t>
  </si>
  <si>
    <t>Tamizador de finos</t>
  </si>
  <si>
    <t>Punto de trasvase de material en cinta transportadora</t>
  </si>
  <si>
    <t>Descarga de camiones (roca fragmentada)</t>
  </si>
  <si>
    <t>Carga de camiones (cinta transportadora, roca triturada)</t>
  </si>
  <si>
    <t>Nota: En caso de que se realicen varias veces alguna de las operaciones, constatar en la columna de "Cantidad de material procesado anualmente en la operación de tratamiento", la cantidad total. Es decir, si existen dos tamizadores, insertar la suma de la cantidad de material procesado anualmente en los dos tamizadores.</t>
  </si>
  <si>
    <r>
      <t>CON TÉCNICAS DE CONTROL</t>
    </r>
    <r>
      <rPr>
        <sz val="10"/>
        <color theme="1"/>
        <rFont val="Arial"/>
        <family val="2"/>
      </rPr>
      <t xml:space="preserve"> (pulverización de agua durante la trituración, todas las cintas encapotadas, mineral molido a silos cerrados completamente)</t>
    </r>
  </si>
  <si>
    <t>Carga contaminante PM10 (kg/año)</t>
  </si>
  <si>
    <t>Emisiones durante el almacenamiento, carga y descarga del material apilado</t>
  </si>
  <si>
    <t>Por favor, seleccione el dato de la estación más próxima al complejo industrial:</t>
  </si>
  <si>
    <t>Tipo de material manipulado (almacenado, cargado y/o descargado) (t/año)</t>
  </si>
  <si>
    <t>Cantidad material manipulado (almacenado, cargado y/o descargado) (t/año)</t>
  </si>
  <si>
    <t>Velocidad anual del viento
Factor U (m/s)</t>
  </si>
  <si>
    <t>Humedad materiales
Factor M (%)</t>
  </si>
  <si>
    <r>
      <t>Factor de emisión PM</t>
    </r>
    <r>
      <rPr>
        <vertAlign val="subscript"/>
        <sz val="10"/>
        <rFont val="Arial"/>
        <family val="2"/>
      </rPr>
      <t>10</t>
    </r>
    <r>
      <rPr>
        <sz val="10"/>
        <rFont val="Arial"/>
        <family val="2"/>
      </rPr>
      <t xml:space="preserve"> (kg/año)</t>
    </r>
  </si>
  <si>
    <r>
      <t>Factor de emisión PST</t>
    </r>
    <r>
      <rPr>
        <sz val="10"/>
        <rFont val="Arial"/>
        <family val="2"/>
      </rPr>
      <t xml:space="preserve"> (kg/año)</t>
    </r>
  </si>
  <si>
    <r>
      <t>Carga contaminante sin corregir (kg/año) PM</t>
    </r>
    <r>
      <rPr>
        <vertAlign val="subscript"/>
        <sz val="10"/>
        <rFont val="Arial"/>
        <family val="2"/>
      </rPr>
      <t>10</t>
    </r>
  </si>
  <si>
    <t>Carga contaminante sin corregir (kg/año) PST</t>
  </si>
  <si>
    <t>Medidas correctoras</t>
  </si>
  <si>
    <t>Eficacia de la medida correctora (%)</t>
  </si>
  <si>
    <r>
      <t>Carga contaminante corregida medidas correctoras (kg/año) PM</t>
    </r>
    <r>
      <rPr>
        <vertAlign val="subscript"/>
        <sz val="10"/>
        <color theme="1"/>
        <rFont val="Arial"/>
        <family val="2"/>
      </rPr>
      <t>10</t>
    </r>
  </si>
  <si>
    <t>Carga contaminante corregida medidas correctoras (kg/año) PST</t>
  </si>
  <si>
    <t xml:space="preserve">Estación </t>
  </si>
  <si>
    <t>Municipio</t>
  </si>
  <si>
    <t>Provincia</t>
  </si>
  <si>
    <t>Alacant - Florida Babel</t>
  </si>
  <si>
    <t>Alacant</t>
  </si>
  <si>
    <t>ALACANT</t>
  </si>
  <si>
    <t>Factor k adimensional</t>
  </si>
  <si>
    <t>Alacant - Rabassa</t>
  </si>
  <si>
    <t>PM10</t>
  </si>
  <si>
    <t>PST</t>
  </si>
  <si>
    <t>Alacant Met Moll 17</t>
  </si>
  <si>
    <t>Alacant_Parc_Mar_Prov</t>
  </si>
  <si>
    <t>Almassora - C.P.Ochando</t>
  </si>
  <si>
    <t>Almassora</t>
  </si>
  <si>
    <t>CASTELLÓ</t>
  </si>
  <si>
    <t>Nota: Sólo será necesario diferenciar las zonas de almacenamiento si estas están separadas más de 250 metros. Si no es así, se puede considerar como una sola zona de almacenamiento.</t>
  </si>
  <si>
    <t>Factor U (m/s)</t>
  </si>
  <si>
    <t>Almassora Platja</t>
  </si>
  <si>
    <t>Velocidad anual del viento</t>
  </si>
  <si>
    <t>Alzira</t>
  </si>
  <si>
    <t>VALÈNCIA</t>
  </si>
  <si>
    <t>m/s</t>
  </si>
  <si>
    <t>Benidorm</t>
  </si>
  <si>
    <t>Benigànim</t>
  </si>
  <si>
    <t>Benigánim</t>
  </si>
  <si>
    <t>Factor M (%)</t>
  </si>
  <si>
    <t>Borriana</t>
  </si>
  <si>
    <t>Burriana</t>
  </si>
  <si>
    <t xml:space="preserve">Humedad materiales </t>
  </si>
  <si>
    <t>Buñol  Cimsa</t>
  </si>
  <si>
    <t>Buñol</t>
  </si>
  <si>
    <t>%</t>
  </si>
  <si>
    <t>Burjassot - Facultats</t>
  </si>
  <si>
    <t>Burjassot</t>
  </si>
  <si>
    <t>Castelló - Ermita</t>
  </si>
  <si>
    <t>Castelló de la Plana</t>
  </si>
  <si>
    <t>Material</t>
  </si>
  <si>
    <t>Humedad (%)</t>
  </si>
  <si>
    <t>Castelló - Grau</t>
  </si>
  <si>
    <t>Caliza</t>
  </si>
  <si>
    <t>Castelló - Penyeta</t>
  </si>
  <si>
    <t>Caliza triturada</t>
  </si>
  <si>
    <t>Castelló AP Gregal</t>
  </si>
  <si>
    <t>Otros productos de la caliza</t>
  </si>
  <si>
    <t>Castelló AP Llevant</t>
  </si>
  <si>
    <t>Arena</t>
  </si>
  <si>
    <t>Castelló AP Mestral</t>
  </si>
  <si>
    <t>Arcilla</t>
  </si>
  <si>
    <t>Castelló AP Ponent</t>
  </si>
  <si>
    <t>Fuente: Tabla 13.2.4-1 del capítulo 13.2.4 "Agregated Handing and Storage Piles" EPA AP-42 (noviembre 2006).</t>
  </si>
  <si>
    <t>Castelló AP Tramuntana</t>
  </si>
  <si>
    <t>Castelló AP Xaloc</t>
  </si>
  <si>
    <t>Medida correctora (%)</t>
  </si>
  <si>
    <t>Castelló BPMet_El_Fadri</t>
  </si>
  <si>
    <t xml:space="preserve">Eficacia de la medida correctora </t>
  </si>
  <si>
    <t>Eficacia (%)</t>
  </si>
  <si>
    <t>Castelló CEIP La Marina</t>
  </si>
  <si>
    <t>Tratamiento en continuo de material con agentes químicos + rociar con agua</t>
  </si>
  <si>
    <t>Cirat</t>
  </si>
  <si>
    <t>Rociar con agua de forma continua en todos los puntos de transferencia de material</t>
  </si>
  <si>
    <t>Coratxà</t>
  </si>
  <si>
    <t>La Pobla de Benifassà</t>
  </si>
  <si>
    <t>3 pantallas cortavientos entorno del acopio</t>
  </si>
  <si>
    <t>el Pinós</t>
  </si>
  <si>
    <t>Pinoso</t>
  </si>
  <si>
    <t>Regar la pila con agua o cubrirla cuando haya un episodio de viento fuerte</t>
  </si>
  <si>
    <t>Elx - Agroalimentari</t>
  </si>
  <si>
    <t>Elx</t>
  </si>
  <si>
    <t>Sin medidas correctoras</t>
  </si>
  <si>
    <t>la Torre d en Doménec</t>
  </si>
  <si>
    <t>Torre Endoménech</t>
  </si>
  <si>
    <t>Fuente: CÀLCUL D’EMISSIONS FUGITIVES DE PARTÍCULES (setembre 2010), Direccio General de Qualitat Ambeintal Departament de Medi Ambient i Habitatge, Generalitat de Catalunya.</t>
  </si>
  <si>
    <t>la Vall d Alba PM</t>
  </si>
  <si>
    <t>Vall d'Alba</t>
  </si>
  <si>
    <t>la Vall d Uixó</t>
  </si>
  <si>
    <t>La Vall d'Uixó</t>
  </si>
  <si>
    <t>Morella</t>
  </si>
  <si>
    <t>Onda</t>
  </si>
  <si>
    <t>Ontinyent</t>
  </si>
  <si>
    <t>Orihuela</t>
  </si>
  <si>
    <t>Sagunt - CEA</t>
  </si>
  <si>
    <t>Sagunt</t>
  </si>
  <si>
    <t>Sagunt - Port</t>
  </si>
  <si>
    <t>Sant Jordi</t>
  </si>
  <si>
    <t>San Jorge</t>
  </si>
  <si>
    <t>Sueca TM Marjal</t>
  </si>
  <si>
    <t>Sueca</t>
  </si>
  <si>
    <t>Torrebaja</t>
  </si>
  <si>
    <t>Torrent-El Vedat</t>
  </si>
  <si>
    <t>Torrent</t>
  </si>
  <si>
    <t>València - Av. França</t>
  </si>
  <si>
    <t>Valencia</t>
  </si>
  <si>
    <t>València - Nazaret Met-2</t>
  </si>
  <si>
    <t>València Port llit antic Túria</t>
  </si>
  <si>
    <t>València Port Moll Trans. Ponent</t>
  </si>
  <si>
    <t>València-Conselleria Meteo.</t>
  </si>
  <si>
    <t>Vilafranca</t>
  </si>
  <si>
    <t>Villafranca del Cid</t>
  </si>
  <si>
    <t>Vilamarxant</t>
  </si>
  <si>
    <t>Villar del Arzobispo</t>
  </si>
  <si>
    <t>Xilxes UM Polígono</t>
  </si>
  <si>
    <t>Chilches/Xilxes</t>
  </si>
  <si>
    <t>Zorita</t>
  </si>
  <si>
    <t>Zorita del Maestrazgo</t>
  </si>
  <si>
    <t>Tránsito de vehículos por pistas sin asfaltar</t>
  </si>
  <si>
    <t>Nº de días al año en los que la precipitación supera 0,254 mm (días lluvia/año)</t>
  </si>
  <si>
    <t>Días laborables (días/año)</t>
  </si>
  <si>
    <t>Tramo</t>
  </si>
  <si>
    <t>Longitud del tramo (km)</t>
  </si>
  <si>
    <t>Contenido de partículas sedimentadas en el tramo del vial según material extraído</t>
  </si>
  <si>
    <t>Intensidad medida diraria incluidos los dos sentidos de circulacion (vehículos/día)</t>
  </si>
  <si>
    <t>Peso medio de los vehículos &gt;3,5 (t)
(t vehículos cargados)</t>
  </si>
  <si>
    <t>Contenido de partículas sedimentadas en el tramo del vial
s(%)</t>
  </si>
  <si>
    <t xml:space="preserve">Nº de días al año en los que la precipitación supera 0,254 mm (días lluvia/año)
</t>
  </si>
  <si>
    <t>Vehículos-kilómetro por tramo (vehículo-km/año)
VKM</t>
  </si>
  <si>
    <t>W Peso medio de los vehículos (t)</t>
  </si>
  <si>
    <t>Factor de emisión (kg/vehículo-km) PM10</t>
  </si>
  <si>
    <t>Factor de emisión (kg/vehículo-km) PST</t>
  </si>
  <si>
    <t>Carga contaminante por tramo sin corregir (kg/año) PM10</t>
  </si>
  <si>
    <t>Carga contaminante por tramo sin corregir (kg/año) PST</t>
  </si>
  <si>
    <t>Carga contaminante corrección precipitación (kg/año)
PM10</t>
  </si>
  <si>
    <t>Carga contaminante corrección precipitación (kg/año) PST</t>
  </si>
  <si>
    <t>Carga contaminante corregida medidas correctoras (kg/año) PM10</t>
  </si>
  <si>
    <t>Tipo de entorno</t>
  </si>
  <si>
    <t>Fracción transportada de partículas</t>
  </si>
  <si>
    <t>Carga contaminante corregida efecto deposición (kg/año) PM10</t>
  </si>
  <si>
    <t>Carga contaminante corregida efecto deposición (kg/año) PST</t>
  </si>
  <si>
    <t>Días al año en los que la precipitación supera 0,254 mm (días lluvia/año)</t>
  </si>
  <si>
    <t>Parámetro</t>
  </si>
  <si>
    <t>k</t>
  </si>
  <si>
    <t>a</t>
  </si>
  <si>
    <t>b</t>
  </si>
  <si>
    <t>Contenido de partículas sedimentadas en viales s(%)</t>
  </si>
  <si>
    <t>Valor medio</t>
  </si>
  <si>
    <t>Rango</t>
  </si>
  <si>
    <t>Canteras</t>
  </si>
  <si>
    <t>Canteras - Viales</t>
  </si>
  <si>
    <t>2,4-16</t>
  </si>
  <si>
    <t>Canteras - Viales entre bancos</t>
  </si>
  <si>
    <t>5 - 15</t>
  </si>
  <si>
    <t>Arena y grava</t>
  </si>
  <si>
    <t>Arena y grava - Viales</t>
  </si>
  <si>
    <t>4,1-6,0</t>
  </si>
  <si>
    <t>Arena y grava - Almacenamiento de material</t>
  </si>
  <si>
    <t>_</t>
  </si>
  <si>
    <t>Medida correctora</t>
  </si>
  <si>
    <t>Eficacia %</t>
  </si>
  <si>
    <t>Limitar la velocidad a 30 km/h</t>
  </si>
  <si>
    <t>Pavimentar los viales y las zonas de aparcamiento</t>
  </si>
  <si>
    <t>Regar dos veces al día</t>
  </si>
  <si>
    <t>Aplicar tensioactivos una vez al año</t>
  </si>
  <si>
    <t xml:space="preserve">Otras medidas: </t>
  </si>
  <si>
    <t>PM 10 (kg/año)</t>
  </si>
  <si>
    <t>Sin medidas</t>
  </si>
  <si>
    <t>Fracción transportada %</t>
  </si>
  <si>
    <t>Urbano</t>
  </si>
  <si>
    <t>Cultivos agrícolas</t>
  </si>
  <si>
    <t>Zonas áridas, improductivas o baldías</t>
  </si>
  <si>
    <t>Césped, hierba o pastos</t>
  </si>
  <si>
    <t>Matorrales y vegetación poco densa</t>
  </si>
  <si>
    <t>Zona forestal densa y con árboles altos</t>
  </si>
  <si>
    <t>Tránsito de vehículos por pistas pavimentadas</t>
  </si>
  <si>
    <t>Contenido de partículas sedimentadas en el tramo del vial
 según material</t>
  </si>
  <si>
    <t>Contenido de partículas sedimentadas en el tramo del vial
 sL(g/m2)</t>
  </si>
  <si>
    <t xml:space="preserve">Nº de días al año en los que la precipitación supera 0,254 mm (días lluvia/año).
</t>
  </si>
  <si>
    <t>Vehículos-kilómetro recorridos anualmente por el tramo (vehículos-km/año)
VKM</t>
  </si>
  <si>
    <t>W  Peso medio de los vehículos (tons)</t>
  </si>
  <si>
    <t>Contenido de partículas sedimentadas en viales sL(g/m2))</t>
  </si>
  <si>
    <t>53-95</t>
  </si>
  <si>
    <t>2,4-14</t>
  </si>
  <si>
    <t>Barrido</t>
  </si>
  <si>
    <t>Riego con agua</t>
  </si>
  <si>
    <t>Ambas</t>
  </si>
  <si>
    <t>Extracción de materiales – Perforación húmeda y/o voladuras</t>
  </si>
  <si>
    <t>Tratamiento del material – Operaciones de trituración y molienda de rocas en canteras</t>
  </si>
  <si>
    <t xml:space="preserve">TOTAL </t>
  </si>
  <si>
    <t xml:space="preserve">Las emisiones totales (kg/año) de partículas PM10 y PST se deben notificar en la plataforma PRTR-España (https://prtr-es.es/) </t>
  </si>
  <si>
    <t>del siguiente modo:</t>
  </si>
  <si>
    <r>
      <rPr>
        <sz val="12"/>
        <color theme="1"/>
        <rFont val="Calibri"/>
        <family val="2"/>
      </rPr>
      <t>•</t>
    </r>
    <r>
      <rPr>
        <sz val="12"/>
        <color theme="1"/>
        <rFont val="Arial"/>
        <family val="2"/>
      </rPr>
      <t xml:space="preserve"> Método de otención del dato:</t>
    </r>
    <r>
      <rPr>
        <b/>
        <sz val="14"/>
        <color theme="1"/>
        <rFont val="Arial"/>
        <family val="2"/>
      </rPr>
      <t xml:space="preserve"> "Calculado"</t>
    </r>
    <r>
      <rPr>
        <sz val="14"/>
        <color theme="1"/>
        <rFont val="Arial"/>
        <family val="2"/>
      </rPr>
      <t>.</t>
    </r>
  </si>
  <si>
    <r>
      <rPr>
        <sz val="12"/>
        <color theme="1"/>
        <rFont val="Calibri"/>
        <family val="2"/>
      </rPr>
      <t>•</t>
    </r>
    <r>
      <rPr>
        <sz val="12"/>
        <color theme="1"/>
        <rFont val="Arial"/>
        <family val="2"/>
      </rPr>
      <t xml:space="preserve"> Origen del método:</t>
    </r>
    <r>
      <rPr>
        <b/>
        <sz val="12"/>
        <color theme="1"/>
        <rFont val="Arial"/>
        <family val="2"/>
      </rPr>
      <t xml:space="preserve">                   </t>
    </r>
    <r>
      <rPr>
        <b/>
        <sz val="14"/>
        <color theme="1"/>
        <rFont val="Arial"/>
        <family val="2"/>
      </rPr>
      <t>"SSC".</t>
    </r>
  </si>
  <si>
    <r>
      <rPr>
        <sz val="12"/>
        <color theme="1"/>
        <rFont val="Calibri"/>
        <family val="2"/>
      </rPr>
      <t>•</t>
    </r>
    <r>
      <rPr>
        <sz val="12"/>
        <color theme="1"/>
        <rFont val="Arial"/>
        <family val="2"/>
      </rPr>
      <t xml:space="preserve"> Método de cálculo:                   </t>
    </r>
    <r>
      <rPr>
        <b/>
        <sz val="14"/>
        <color theme="1"/>
        <rFont val="Arial"/>
        <family val="2"/>
      </rPr>
      <t>"Factores de emisión".</t>
    </r>
  </si>
  <si>
    <r>
      <rPr>
        <sz val="12"/>
        <color theme="1"/>
        <rFont val="Calibri"/>
        <family val="2"/>
      </rPr>
      <t>•</t>
    </r>
    <r>
      <rPr>
        <sz val="12"/>
        <color theme="1"/>
        <rFont val="Arial"/>
        <family val="2"/>
      </rPr>
      <t xml:space="preserve"> Fuentes o referencias:             </t>
    </r>
    <r>
      <rPr>
        <b/>
        <sz val="14"/>
        <color theme="1"/>
        <rFont val="Arial"/>
        <family val="2"/>
      </rPr>
      <t>"Atmosferic Emission Inventory Guidebook (EMEP/CORINAIR)".</t>
    </r>
  </si>
  <si>
    <t xml:space="preserve">                                            "Compilation of Air Pollutant Emission Factors (AP 42 - EPA)".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</si>
</sst>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53">
    <font>
      <sz val="10"/>
      <name val="Arial"/>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Arial"/>
      <family val="2"/>
    </font>
    <font>
      <i/>
      <sz val="10"/>
      <name val="Arial"/>
      <family val="2"/>
    </font>
    <font>
      <b/>
      <i/>
      <sz val="10"/>
      <name val="Arial"/>
      <family val="2"/>
    </font>
    <font>
      <b/>
      <i/>
      <sz val="8"/>
      <name val="Arial"/>
      <family val="2"/>
    </font>
    <font>
      <b/>
      <i/>
      <sz val="8"/>
      <name val="Symbol"/>
      <family val="1"/>
      <charset val="2"/>
    </font>
    <font>
      <sz val="10"/>
      <color indexed="10"/>
      <name val="Arial"/>
      <family val="2"/>
    </font>
    <font>
      <sz val="10"/>
      <color theme="1"/>
      <name val="Arial"/>
      <family val="2"/>
    </font>
    <font>
      <b/>
      <sz val="10"/>
      <color theme="1"/>
      <name val="Arial"/>
      <family val="2"/>
    </font>
    <font>
      <b/>
      <sz val="10"/>
      <color theme="0"/>
      <name val="Arial"/>
      <family val="2"/>
    </font>
    <font>
      <sz val="9"/>
      <name val="Arial"/>
      <family val="2"/>
    </font>
    <font>
      <b/>
      <sz val="10"/>
      <color rgb="FFFF0000"/>
      <name val="Arial"/>
      <family val="2"/>
    </font>
    <font>
      <sz val="10"/>
      <color indexed="60"/>
      <name val="Arial"/>
      <family val="2"/>
    </font>
    <font>
      <sz val="10"/>
      <color indexed="8"/>
      <name val="Arial"/>
      <family val="2"/>
    </font>
    <font>
      <sz val="8"/>
      <color indexed="8"/>
      <name val="Arial"/>
      <family val="2"/>
    </font>
    <font>
      <vertAlign val="superscript"/>
      <sz val="10"/>
      <name val="Arial"/>
      <family val="2"/>
    </font>
    <font>
      <b/>
      <sz val="12"/>
      <name val="Arial"/>
      <family val="2"/>
    </font>
    <font>
      <sz val="12"/>
      <name val="Arial"/>
      <family val="2"/>
    </font>
    <font>
      <b/>
      <vertAlign val="subscript"/>
      <sz val="12"/>
      <name val="Arial"/>
      <family val="2"/>
    </font>
    <font>
      <b/>
      <u/>
      <sz val="12"/>
      <color theme="5" tint="-0.249977111117893"/>
      <name val="Arial"/>
      <family val="2"/>
    </font>
    <font>
      <vertAlign val="subscript"/>
      <sz val="10"/>
      <name val="Arial"/>
      <family val="2"/>
    </font>
    <font>
      <b/>
      <sz val="16"/>
      <color rgb="FF00B050"/>
      <name val="Calibri"/>
      <family val="2"/>
      <scheme val="minor"/>
    </font>
    <font>
      <sz val="12"/>
      <color theme="1"/>
      <name val="Calibri"/>
      <family val="2"/>
      <scheme val="minor"/>
    </font>
    <font>
      <b/>
      <sz val="12"/>
      <color indexed="8"/>
      <name val="Calibri"/>
      <family val="2"/>
    </font>
    <font>
      <sz val="12"/>
      <color indexed="8"/>
      <name val="Calibri"/>
      <family val="2"/>
    </font>
    <font>
      <sz val="12"/>
      <color theme="1"/>
      <name val="Calibri"/>
      <family val="2"/>
    </font>
    <font>
      <b/>
      <u/>
      <sz val="16"/>
      <color rgb="FF00B050"/>
      <name val="Calibri"/>
      <family val="2"/>
    </font>
    <font>
      <sz val="12"/>
      <color rgb="FF000000"/>
      <name val="Calibri"/>
      <family val="2"/>
    </font>
    <font>
      <b/>
      <sz val="12"/>
      <color rgb="FF008000"/>
      <name val="Calibri"/>
      <family val="2"/>
      <scheme val="minor"/>
    </font>
    <font>
      <vertAlign val="subscript"/>
      <sz val="12"/>
      <color theme="1"/>
      <name val="Calibri"/>
      <family val="2"/>
      <scheme val="minor"/>
    </font>
    <font>
      <b/>
      <sz val="12"/>
      <color theme="1"/>
      <name val="Calibri"/>
      <family val="2"/>
      <scheme val="minor"/>
    </font>
    <font>
      <sz val="12"/>
      <name val="Calibri"/>
      <family val="2"/>
      <scheme val="minor"/>
    </font>
    <font>
      <vertAlign val="subscript"/>
      <sz val="10"/>
      <color theme="1"/>
      <name val="Arial"/>
      <family val="2"/>
    </font>
    <font>
      <sz val="12"/>
      <color theme="1"/>
      <name val="Arial"/>
      <family val="2"/>
    </font>
    <font>
      <b/>
      <sz val="14"/>
      <color theme="1"/>
      <name val="Arial"/>
      <family val="2"/>
    </font>
    <font>
      <sz val="14"/>
      <color theme="1"/>
      <name val="Arial"/>
      <family val="2"/>
    </font>
    <font>
      <b/>
      <sz val="12"/>
      <color theme="1"/>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rgb="FFFFDD71"/>
        <bgColor indexed="64"/>
      </patternFill>
    </fill>
    <fill>
      <patternFill patternType="solid">
        <fgColor rgb="FF00FF0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indexed="9"/>
        <bgColor indexed="26"/>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rgb="FFFFCC00"/>
      </patternFill>
    </fill>
    <fill>
      <patternFill patternType="solid">
        <fgColor theme="5" tint="0.79998168889431442"/>
        <bgColor rgb="FFFFFF99"/>
      </patternFill>
    </fill>
    <fill>
      <patternFill patternType="solid">
        <fgColor theme="0" tint="-0.249977111117893"/>
        <bgColor rgb="FFC0C0C0"/>
      </patternFill>
    </fill>
    <fill>
      <patternFill patternType="solid">
        <fgColor theme="6" tint="0.79998168889431442"/>
        <bgColor indexed="64"/>
      </patternFill>
    </fill>
    <fill>
      <patternFill patternType="solid">
        <fgColor theme="0" tint="-0.14999847407452621"/>
        <bgColor rgb="FFFFCC00"/>
      </patternFill>
    </fill>
    <fill>
      <patternFill patternType="solid">
        <fgColor theme="0"/>
        <bgColor indexed="26"/>
      </patternFill>
    </fill>
    <fill>
      <patternFill patternType="solid">
        <fgColor theme="6" tint="0.39997558519241921"/>
        <bgColor rgb="FFFFCC00"/>
      </patternFill>
    </fill>
    <fill>
      <patternFill patternType="solid">
        <fgColor theme="5" tint="0.79998168889431442"/>
        <bgColor indexed="24"/>
      </patternFill>
    </fill>
    <fill>
      <patternFill patternType="solid">
        <fgColor theme="0" tint="-0.14999847407452621"/>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000000"/>
      </left>
      <right style="thin">
        <color rgb="FF000000"/>
      </right>
      <top style="thin">
        <color rgb="FF000000"/>
      </top>
      <bottom style="thin">
        <color theme="4" tint="0.39997558519241921"/>
      </bottom>
      <diagonal/>
    </border>
    <border>
      <left style="thin">
        <color rgb="FF000000"/>
      </left>
      <right style="medium">
        <color rgb="FF000000"/>
      </right>
      <top style="thin">
        <color rgb="FF000000"/>
      </top>
      <bottom style="thin">
        <color theme="4" tint="0.39997558519241921"/>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right/>
      <top/>
      <bottom style="thin">
        <color rgb="FF000000"/>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indexed="64"/>
      </top>
      <bottom style="thin">
        <color rgb="FF000000"/>
      </bottom>
      <diagonal/>
    </border>
    <border>
      <left style="thin">
        <color indexed="8"/>
      </left>
      <right style="medium">
        <color indexed="64"/>
      </right>
      <top style="medium">
        <color indexed="64"/>
      </top>
      <bottom style="medium">
        <color indexed="64"/>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4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0" fontId="1" fillId="23" borderId="4" applyNumberFormat="0" applyFon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cellStyleXfs>
  <cellXfs count="305">
    <xf numFmtId="0" fontId="0" fillId="0" borderId="0" xfId="0"/>
    <xf numFmtId="0" fontId="0" fillId="0" borderId="0" xfId="0" applyAlignment="1">
      <alignment horizontal="center"/>
    </xf>
    <xf numFmtId="0" fontId="0" fillId="0" borderId="0" xfId="0" applyAlignment="1">
      <alignment horizontal="right"/>
    </xf>
    <xf numFmtId="0" fontId="23" fillId="0" borderId="39" xfId="0" applyFont="1" applyBorder="1"/>
    <xf numFmtId="0" fontId="23" fillId="0" borderId="41" xfId="0" applyFont="1" applyBorder="1"/>
    <xf numFmtId="0" fontId="17" fillId="24" borderId="28" xfId="0" applyFont="1" applyFill="1" applyBorder="1" applyAlignment="1">
      <alignment horizontal="center"/>
    </xf>
    <xf numFmtId="0" fontId="17" fillId="24" borderId="16" xfId="0" applyFont="1" applyFill="1" applyBorder="1" applyAlignment="1">
      <alignment horizontal="center"/>
    </xf>
    <xf numFmtId="0" fontId="23" fillId="0" borderId="42" xfId="0" applyFont="1" applyBorder="1"/>
    <xf numFmtId="0" fontId="23" fillId="0" borderId="33" xfId="0" applyFont="1" applyBorder="1"/>
    <xf numFmtId="0" fontId="17" fillId="24" borderId="15" xfId="0" applyFont="1" applyFill="1" applyBorder="1" applyAlignment="1">
      <alignment horizontal="center" wrapText="1"/>
    </xf>
    <xf numFmtId="0" fontId="23" fillId="0" borderId="44" xfId="0" applyFont="1" applyBorder="1"/>
    <xf numFmtId="0" fontId="23" fillId="0" borderId="43" xfId="0" applyFont="1" applyBorder="1"/>
    <xf numFmtId="0" fontId="23" fillId="27" borderId="18" xfId="0" applyFont="1" applyFill="1" applyBorder="1" applyAlignment="1">
      <alignment horizontal="center"/>
    </xf>
    <xf numFmtId="0" fontId="23" fillId="27" borderId="19" xfId="0" applyFont="1" applyFill="1" applyBorder="1" applyAlignment="1">
      <alignment horizontal="right"/>
    </xf>
    <xf numFmtId="0" fontId="23" fillId="27" borderId="17" xfId="0" applyFont="1" applyFill="1" applyBorder="1" applyAlignment="1">
      <alignment horizontal="right"/>
    </xf>
    <xf numFmtId="0" fontId="0" fillId="25" borderId="14" xfId="0" applyFill="1" applyBorder="1"/>
    <xf numFmtId="0" fontId="23" fillId="0" borderId="42" xfId="0" applyFont="1" applyBorder="1" applyProtection="1">
      <protection locked="0"/>
    </xf>
    <xf numFmtId="0" fontId="17" fillId="26" borderId="15" xfId="0" applyFont="1" applyFill="1" applyBorder="1" applyAlignment="1">
      <alignment horizontal="center"/>
    </xf>
    <xf numFmtId="0" fontId="17" fillId="24" borderId="15" xfId="0" applyFont="1" applyFill="1" applyBorder="1" applyAlignment="1">
      <alignment horizontal="center"/>
    </xf>
    <xf numFmtId="0" fontId="17" fillId="26" borderId="18" xfId="0" applyFont="1" applyFill="1" applyBorder="1" applyAlignment="1">
      <alignment horizontal="center"/>
    </xf>
    <xf numFmtId="0" fontId="17" fillId="24" borderId="19" xfId="0" applyFont="1" applyFill="1" applyBorder="1" applyAlignment="1">
      <alignment horizontal="center"/>
    </xf>
    <xf numFmtId="0" fontId="17" fillId="24" borderId="17" xfId="0" applyFont="1" applyFill="1" applyBorder="1" applyAlignment="1">
      <alignment horizontal="center"/>
    </xf>
    <xf numFmtId="0" fontId="23" fillId="0" borderId="34" xfId="0" applyFont="1" applyBorder="1"/>
    <xf numFmtId="0" fontId="23" fillId="0" borderId="40" xfId="0" applyFont="1" applyBorder="1"/>
    <xf numFmtId="0" fontId="23" fillId="0" borderId="43" xfId="0" applyFont="1" applyBorder="1" applyProtection="1">
      <protection locked="0"/>
    </xf>
    <xf numFmtId="0" fontId="23" fillId="0" borderId="37" xfId="0" applyFont="1" applyBorder="1"/>
    <xf numFmtId="0" fontId="23" fillId="0" borderId="35" xfId="0" applyFont="1" applyBorder="1"/>
    <xf numFmtId="0" fontId="25" fillId="24" borderId="26" xfId="0" applyFont="1" applyFill="1" applyBorder="1" applyAlignment="1">
      <alignment horizontal="center"/>
    </xf>
    <xf numFmtId="0" fontId="25" fillId="24" borderId="17" xfId="0" applyFont="1" applyFill="1" applyBorder="1" applyAlignment="1">
      <alignment horizontal="center"/>
    </xf>
    <xf numFmtId="0" fontId="23" fillId="27" borderId="39" xfId="0" applyFont="1" applyFill="1" applyBorder="1"/>
    <xf numFmtId="0" fontId="23" fillId="27" borderId="40" xfId="0" applyFont="1" applyFill="1" applyBorder="1"/>
    <xf numFmtId="0" fontId="23" fillId="27" borderId="41" xfId="0" applyFont="1" applyFill="1" applyBorder="1"/>
    <xf numFmtId="0" fontId="23" fillId="27" borderId="34" xfId="0" applyFont="1" applyFill="1" applyBorder="1"/>
    <xf numFmtId="0" fontId="23" fillId="0" borderId="52" xfId="0" applyFont="1" applyBorder="1"/>
    <xf numFmtId="0" fontId="23" fillId="0" borderId="53" xfId="0" applyFont="1" applyBorder="1"/>
    <xf numFmtId="0" fontId="23" fillId="27" borderId="54" xfId="0" applyFont="1" applyFill="1" applyBorder="1"/>
    <xf numFmtId="0" fontId="23" fillId="27" borderId="55" xfId="0" applyFont="1" applyFill="1" applyBorder="1"/>
    <xf numFmtId="0" fontId="1" fillId="0" borderId="20" xfId="0" applyFont="1" applyBorder="1"/>
    <xf numFmtId="0" fontId="1" fillId="0" borderId="29" xfId="0" applyFont="1" applyBorder="1"/>
    <xf numFmtId="0" fontId="1" fillId="0" borderId="23" xfId="0" applyFont="1" applyBorder="1" applyAlignment="1">
      <alignment wrapText="1"/>
    </xf>
    <xf numFmtId="0" fontId="18" fillId="28" borderId="0" xfId="0" applyFont="1" applyFill="1" applyAlignment="1">
      <alignment horizontal="left"/>
    </xf>
    <xf numFmtId="0" fontId="18" fillId="28" borderId="0" xfId="0" applyFont="1" applyFill="1"/>
    <xf numFmtId="0" fontId="0" fillId="28" borderId="0" xfId="0" applyFill="1"/>
    <xf numFmtId="0" fontId="26" fillId="28" borderId="0" xfId="0" applyFont="1" applyFill="1" applyAlignment="1">
      <alignment horizontal="left" vertical="top" wrapText="1"/>
    </xf>
    <xf numFmtId="0" fontId="1" fillId="28" borderId="0" xfId="0" applyFont="1" applyFill="1"/>
    <xf numFmtId="0" fontId="19" fillId="28" borderId="0" xfId="0" applyFont="1" applyFill="1"/>
    <xf numFmtId="0" fontId="20" fillId="28" borderId="0" xfId="0" applyFont="1" applyFill="1"/>
    <xf numFmtId="0" fontId="18" fillId="28" borderId="0" xfId="0" applyFont="1" applyFill="1" applyAlignment="1">
      <alignment horizontal="right"/>
    </xf>
    <xf numFmtId="0" fontId="1" fillId="29" borderId="60" xfId="0" applyFont="1" applyFill="1" applyBorder="1" applyAlignment="1">
      <alignment vertical="center"/>
    </xf>
    <xf numFmtId="0" fontId="1" fillId="30" borderId="61" xfId="0" applyFont="1" applyFill="1" applyBorder="1" applyAlignment="1" applyProtection="1">
      <alignment horizontal="left" vertical="center" wrapText="1" indent="1"/>
      <protection locked="0"/>
    </xf>
    <xf numFmtId="0" fontId="1" fillId="29" borderId="23" xfId="0" applyFont="1" applyFill="1" applyBorder="1" applyAlignment="1">
      <alignment vertical="center"/>
    </xf>
    <xf numFmtId="0" fontId="1" fillId="31" borderId="0" xfId="0" applyFont="1" applyFill="1" applyAlignment="1">
      <alignment vertical="center"/>
    </xf>
    <xf numFmtId="0" fontId="28" fillId="31" borderId="0" xfId="0" applyFont="1" applyFill="1" applyAlignment="1">
      <alignment vertical="center"/>
    </xf>
    <xf numFmtId="0" fontId="29" fillId="31" borderId="0" xfId="0" applyFont="1" applyFill="1" applyAlignment="1">
      <alignment vertical="center"/>
    </xf>
    <xf numFmtId="0" fontId="17" fillId="29" borderId="58" xfId="0" applyFont="1" applyFill="1" applyBorder="1" applyAlignment="1">
      <alignment horizontal="center"/>
    </xf>
    <xf numFmtId="0" fontId="17" fillId="29" borderId="59" xfId="0" applyFont="1" applyFill="1" applyBorder="1" applyAlignment="1">
      <alignment horizontal="center"/>
    </xf>
    <xf numFmtId="0" fontId="1" fillId="31" borderId="0" xfId="0" applyFont="1" applyFill="1" applyAlignment="1">
      <alignment horizontal="center" vertical="center"/>
    </xf>
    <xf numFmtId="0" fontId="1" fillId="33" borderId="32" xfId="0" applyFont="1" applyFill="1" applyBorder="1"/>
    <xf numFmtId="0" fontId="1" fillId="33" borderId="32" xfId="0" applyFont="1" applyFill="1" applyBorder="1" applyAlignment="1">
      <alignment horizontal="center"/>
    </xf>
    <xf numFmtId="0" fontId="33" fillId="34" borderId="23" xfId="0" applyFont="1" applyFill="1" applyBorder="1"/>
    <xf numFmtId="165" fontId="33" fillId="34" borderId="24" xfId="0" applyNumberFormat="1" applyFont="1" applyFill="1" applyBorder="1" applyAlignment="1">
      <alignment horizontal="center"/>
    </xf>
    <xf numFmtId="165" fontId="33" fillId="34" borderId="25" xfId="0" applyNumberFormat="1" applyFont="1" applyFill="1" applyBorder="1" applyAlignment="1">
      <alignment horizontal="center"/>
    </xf>
    <xf numFmtId="0" fontId="32" fillId="35" borderId="20" xfId="0" applyFont="1" applyFill="1" applyBorder="1"/>
    <xf numFmtId="0" fontId="32" fillId="35" borderId="21" xfId="0" applyFont="1" applyFill="1" applyBorder="1" applyAlignment="1">
      <alignment horizontal="center"/>
    </xf>
    <xf numFmtId="0" fontId="32" fillId="35" borderId="22" xfId="0" applyFont="1" applyFill="1" applyBorder="1" applyAlignment="1">
      <alignment horizontal="center"/>
    </xf>
    <xf numFmtId="0" fontId="35" fillId="31" borderId="0" xfId="0" applyFont="1" applyFill="1" applyAlignment="1">
      <alignment vertical="center"/>
    </xf>
    <xf numFmtId="0" fontId="26" fillId="28" borderId="0" xfId="0" applyFont="1" applyFill="1" applyAlignment="1">
      <alignment vertical="top" wrapText="1"/>
    </xf>
    <xf numFmtId="0" fontId="0" fillId="33" borderId="32" xfId="0" applyFill="1" applyBorder="1" applyAlignment="1">
      <alignment horizontal="center" vertical="center" wrapText="1"/>
    </xf>
    <xf numFmtId="0" fontId="0" fillId="33" borderId="32" xfId="0" applyFill="1" applyBorder="1"/>
    <xf numFmtId="0" fontId="23" fillId="38" borderId="32" xfId="0" applyFont="1" applyFill="1" applyBorder="1" applyAlignment="1">
      <alignment horizontal="center" vertical="center" wrapText="1"/>
    </xf>
    <xf numFmtId="0" fontId="23" fillId="38" borderId="32" xfId="0" applyFont="1" applyFill="1" applyBorder="1" applyAlignment="1">
      <alignment wrapText="1"/>
    </xf>
    <xf numFmtId="0" fontId="1" fillId="33" borderId="32" xfId="0" applyFont="1" applyFill="1" applyBorder="1" applyAlignment="1">
      <alignment horizontal="center" vertical="center" wrapText="1"/>
    </xf>
    <xf numFmtId="0" fontId="23" fillId="36" borderId="22" xfId="0" applyFont="1" applyFill="1" applyBorder="1" applyAlignment="1">
      <alignment horizontal="center" vertical="center" wrapText="1"/>
    </xf>
    <xf numFmtId="165" fontId="33" fillId="34" borderId="32" xfId="0" applyNumberFormat="1" applyFont="1" applyFill="1" applyBorder="1" applyAlignment="1">
      <alignment horizontal="center"/>
    </xf>
    <xf numFmtId="165" fontId="33" fillId="34" borderId="57" xfId="0" applyNumberFormat="1" applyFont="1" applyFill="1" applyBorder="1" applyAlignment="1">
      <alignment horizontal="center"/>
    </xf>
    <xf numFmtId="0" fontId="37" fillId="39" borderId="0" xfId="0" applyFont="1" applyFill="1" applyAlignment="1">
      <alignment horizontal="center"/>
    </xf>
    <xf numFmtId="0" fontId="0" fillId="39" borderId="0" xfId="0" applyFill="1"/>
    <xf numFmtId="0" fontId="38" fillId="39" borderId="0" xfId="0" applyFont="1" applyFill="1" applyAlignment="1">
      <alignment horizontal="left" vertical="center" wrapText="1"/>
    </xf>
    <xf numFmtId="0" fontId="38" fillId="39" borderId="0" xfId="0" applyFont="1" applyFill="1" applyAlignment="1">
      <alignment wrapText="1"/>
    </xf>
    <xf numFmtId="0" fontId="41" fillId="39" borderId="0" xfId="0" applyFont="1" applyFill="1" applyAlignment="1">
      <alignment wrapText="1"/>
    </xf>
    <xf numFmtId="0" fontId="0" fillId="39" borderId="0" xfId="0" applyFill="1" applyAlignment="1">
      <alignment wrapText="1"/>
    </xf>
    <xf numFmtId="0" fontId="42" fillId="39" borderId="0" xfId="0" applyFont="1" applyFill="1" applyAlignment="1">
      <alignment horizontal="center" vertical="center" wrapText="1"/>
    </xf>
    <xf numFmtId="0" fontId="44" fillId="39" borderId="0" xfId="0" applyFont="1" applyFill="1" applyAlignment="1">
      <alignment wrapText="1"/>
    </xf>
    <xf numFmtId="0" fontId="47" fillId="39" borderId="0" xfId="0" applyFont="1" applyFill="1" applyAlignment="1">
      <alignment horizontal="left" vertical="center" wrapText="1"/>
    </xf>
    <xf numFmtId="0" fontId="35" fillId="41" borderId="0" xfId="0" applyFont="1" applyFill="1" applyAlignment="1">
      <alignment vertical="center"/>
    </xf>
    <xf numFmtId="0" fontId="27" fillId="28" borderId="0" xfId="0" applyFont="1" applyFill="1"/>
    <xf numFmtId="0" fontId="22" fillId="28" borderId="0" xfId="0" applyFont="1" applyFill="1"/>
    <xf numFmtId="0" fontId="0" fillId="28" borderId="14" xfId="0" applyFill="1" applyBorder="1" applyAlignment="1">
      <alignment horizontal="center"/>
    </xf>
    <xf numFmtId="0" fontId="0" fillId="28" borderId="16" xfId="0" applyFill="1" applyBorder="1" applyAlignment="1">
      <alignment horizontal="center"/>
    </xf>
    <xf numFmtId="0" fontId="0" fillId="28" borderId="16" xfId="0" applyFill="1" applyBorder="1"/>
    <xf numFmtId="0" fontId="0" fillId="28" borderId="0" xfId="0" applyFill="1" applyAlignment="1">
      <alignment horizontal="center"/>
    </xf>
    <xf numFmtId="0" fontId="17" fillId="26" borderId="12" xfId="0" applyFont="1" applyFill="1" applyBorder="1" applyAlignment="1">
      <alignment horizontal="center"/>
    </xf>
    <xf numFmtId="0" fontId="17" fillId="26" borderId="13" xfId="0" applyFont="1" applyFill="1" applyBorder="1" applyAlignment="1">
      <alignment horizontal="center"/>
    </xf>
    <xf numFmtId="2" fontId="23" fillId="29" borderId="69" xfId="0" applyNumberFormat="1" applyFont="1" applyFill="1" applyBorder="1"/>
    <xf numFmtId="164" fontId="1" fillId="29" borderId="32" xfId="0" applyNumberFormat="1" applyFont="1" applyFill="1" applyBorder="1" applyAlignment="1">
      <alignment horizontal="center"/>
    </xf>
    <xf numFmtId="2" fontId="23" fillId="29" borderId="38" xfId="0" applyNumberFormat="1" applyFont="1" applyFill="1" applyBorder="1"/>
    <xf numFmtId="0" fontId="19" fillId="28" borderId="0" xfId="0" applyFont="1" applyFill="1" applyAlignment="1">
      <alignment horizontal="right"/>
    </xf>
    <xf numFmtId="0" fontId="0" fillId="28" borderId="0" xfId="0" applyFill="1" applyAlignment="1">
      <alignment horizontal="right"/>
    </xf>
    <xf numFmtId="49" fontId="0" fillId="28" borderId="0" xfId="0" applyNumberFormat="1" applyFill="1" applyAlignment="1">
      <alignment horizontal="center"/>
    </xf>
    <xf numFmtId="0" fontId="23" fillId="28" borderId="0" xfId="0" applyFont="1" applyFill="1"/>
    <xf numFmtId="2" fontId="24" fillId="28" borderId="0" xfId="0" applyNumberFormat="1" applyFont="1" applyFill="1"/>
    <xf numFmtId="0" fontId="21" fillId="28" borderId="0" xfId="0" applyFont="1" applyFill="1" applyAlignment="1">
      <alignment horizontal="right"/>
    </xf>
    <xf numFmtId="0" fontId="0" fillId="29" borderId="20" xfId="0" applyFill="1" applyBorder="1" applyAlignment="1">
      <alignment horizontal="center"/>
    </xf>
    <xf numFmtId="0" fontId="0" fillId="29" borderId="56" xfId="0" applyFill="1" applyBorder="1" applyAlignment="1">
      <alignment horizontal="center"/>
    </xf>
    <xf numFmtId="0" fontId="0" fillId="29" borderId="23" xfId="0" applyFill="1" applyBorder="1" applyAlignment="1">
      <alignment horizontal="center"/>
    </xf>
    <xf numFmtId="0" fontId="1" fillId="29" borderId="20" xfId="0" applyFont="1" applyFill="1" applyBorder="1" applyAlignment="1">
      <alignment horizontal="center" vertical="center" wrapText="1"/>
    </xf>
    <xf numFmtId="0" fontId="1" fillId="29" borderId="21"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1" fillId="29" borderId="22" xfId="0" applyFont="1" applyFill="1" applyBorder="1" applyAlignment="1">
      <alignment horizontal="center" vertical="center" wrapText="1"/>
    </xf>
    <xf numFmtId="164" fontId="1" fillId="29" borderId="57" xfId="0" applyNumberFormat="1" applyFont="1" applyFill="1" applyBorder="1" applyAlignment="1">
      <alignment horizontal="center"/>
    </xf>
    <xf numFmtId="164" fontId="1" fillId="29" borderId="24" xfId="0" applyNumberFormat="1" applyFont="1" applyFill="1" applyBorder="1" applyAlignment="1">
      <alignment horizontal="center"/>
    </xf>
    <xf numFmtId="2" fontId="23" fillId="29" borderId="75" xfId="0" applyNumberFormat="1" applyFont="1" applyFill="1" applyBorder="1"/>
    <xf numFmtId="164" fontId="1" fillId="29" borderId="25" xfId="0" applyNumberFormat="1" applyFont="1" applyFill="1" applyBorder="1" applyAlignment="1">
      <alignment horizontal="center"/>
    </xf>
    <xf numFmtId="0" fontId="23" fillId="32" borderId="37" xfId="0" applyFont="1" applyFill="1" applyBorder="1"/>
    <xf numFmtId="0" fontId="0" fillId="28" borderId="22" xfId="0" applyFill="1" applyBorder="1" applyAlignment="1">
      <alignment horizontal="center"/>
    </xf>
    <xf numFmtId="0" fontId="0" fillId="28" borderId="25" xfId="0" applyFill="1" applyBorder="1" applyAlignment="1">
      <alignment horizontal="center"/>
    </xf>
    <xf numFmtId="0" fontId="33" fillId="34" borderId="56" xfId="0" applyFont="1" applyFill="1" applyBorder="1" applyAlignment="1">
      <alignment horizontal="center" vertical="top"/>
    </xf>
    <xf numFmtId="0" fontId="33" fillId="34" borderId="77" xfId="0" applyFont="1" applyFill="1" applyBorder="1"/>
    <xf numFmtId="0" fontId="33" fillId="34" borderId="20" xfId="0" applyFont="1" applyFill="1" applyBorder="1" applyAlignment="1">
      <alignment horizontal="center" vertical="top"/>
    </xf>
    <xf numFmtId="0" fontId="33" fillId="34" borderId="23" xfId="0" applyFont="1" applyFill="1" applyBorder="1" applyAlignment="1">
      <alignment horizontal="center" vertical="top"/>
    </xf>
    <xf numFmtId="0" fontId="32" fillId="35" borderId="23" xfId="0" applyFont="1" applyFill="1" applyBorder="1"/>
    <xf numFmtId="165" fontId="32" fillId="35" borderId="24" xfId="0" applyNumberFormat="1" applyFont="1" applyFill="1" applyBorder="1" applyAlignment="1">
      <alignment horizontal="center"/>
    </xf>
    <xf numFmtId="165" fontId="32" fillId="35" borderId="25" xfId="0" applyNumberFormat="1" applyFont="1" applyFill="1" applyBorder="1" applyAlignment="1">
      <alignment horizontal="center"/>
    </xf>
    <xf numFmtId="0" fontId="23" fillId="42" borderId="79" xfId="0" applyFont="1" applyFill="1" applyBorder="1" applyAlignment="1">
      <alignment horizontal="center" vertical="center" wrapText="1"/>
    </xf>
    <xf numFmtId="0" fontId="23" fillId="42" borderId="72" xfId="0" applyFont="1" applyFill="1" applyBorder="1" applyAlignment="1">
      <alignment horizontal="center" vertical="center" wrapText="1"/>
    </xf>
    <xf numFmtId="0" fontId="23" fillId="32" borderId="65" xfId="0" applyFont="1" applyFill="1" applyBorder="1"/>
    <xf numFmtId="0" fontId="23" fillId="32" borderId="73" xfId="0" applyFont="1" applyFill="1" applyBorder="1"/>
    <xf numFmtId="0" fontId="23" fillId="32" borderId="67" xfId="0" applyFont="1" applyFill="1" applyBorder="1"/>
    <xf numFmtId="0" fontId="23" fillId="42" borderId="21" xfId="0" applyFont="1" applyFill="1" applyBorder="1" applyAlignment="1">
      <alignment horizontal="center" vertical="center" wrapText="1"/>
    </xf>
    <xf numFmtId="0" fontId="23" fillId="42" borderId="22" xfId="0" applyFont="1" applyFill="1" applyBorder="1" applyAlignment="1">
      <alignment horizontal="center" vertical="center" wrapText="1"/>
    </xf>
    <xf numFmtId="2" fontId="23" fillId="32" borderId="32" xfId="0" applyNumberFormat="1" applyFont="1" applyFill="1" applyBorder="1"/>
    <xf numFmtId="2" fontId="23" fillId="32" borderId="57" xfId="0" applyNumberFormat="1" applyFont="1" applyFill="1" applyBorder="1"/>
    <xf numFmtId="2" fontId="23" fillId="32" borderId="24" xfId="0" applyNumberFormat="1" applyFont="1" applyFill="1" applyBorder="1"/>
    <xf numFmtId="2" fontId="23" fillId="32" borderId="25" xfId="0" applyNumberFormat="1" applyFont="1" applyFill="1" applyBorder="1"/>
    <xf numFmtId="0" fontId="23" fillId="42" borderId="81" xfId="0" applyFont="1" applyFill="1" applyBorder="1" applyAlignment="1">
      <alignment horizontal="center" vertical="center" wrapText="1"/>
    </xf>
    <xf numFmtId="0" fontId="23" fillId="32" borderId="38" xfId="0" applyFont="1" applyFill="1" applyBorder="1"/>
    <xf numFmtId="0" fontId="23" fillId="42" borderId="48" xfId="0" applyFont="1" applyFill="1" applyBorder="1" applyAlignment="1">
      <alignment horizontal="center" vertical="center" wrapText="1"/>
    </xf>
    <xf numFmtId="2" fontId="24" fillId="32" borderId="77" xfId="0" applyNumberFormat="1" applyFont="1" applyFill="1" applyBorder="1"/>
    <xf numFmtId="2" fontId="24" fillId="32" borderId="29" xfId="0" applyNumberFormat="1" applyFont="1" applyFill="1" applyBorder="1"/>
    <xf numFmtId="0" fontId="23" fillId="36" borderId="20" xfId="0" applyFont="1" applyFill="1" applyBorder="1" applyAlignment="1">
      <alignment horizontal="center" vertical="center" wrapText="1"/>
    </xf>
    <xf numFmtId="0" fontId="23" fillId="36" borderId="48" xfId="0" applyFont="1" applyFill="1" applyBorder="1" applyAlignment="1">
      <alignment horizontal="center" vertical="center" wrapText="1"/>
    </xf>
    <xf numFmtId="0" fontId="1" fillId="29" borderId="58" xfId="0" applyFont="1" applyFill="1" applyBorder="1"/>
    <xf numFmtId="0" fontId="1" fillId="29" borderId="63" xfId="0" applyFont="1" applyFill="1" applyBorder="1" applyAlignment="1">
      <alignment horizontal="center"/>
    </xf>
    <xf numFmtId="0" fontId="23" fillId="36" borderId="20" xfId="0" applyFont="1" applyFill="1" applyBorder="1" applyAlignment="1">
      <alignment horizontal="left" wrapText="1"/>
    </xf>
    <xf numFmtId="0" fontId="23" fillId="36" borderId="23" xfId="0" applyFont="1" applyFill="1" applyBorder="1" applyAlignment="1">
      <alignment horizontal="left" vertical="center" wrapText="1"/>
    </xf>
    <xf numFmtId="0" fontId="23" fillId="36" borderId="71" xfId="0" applyFont="1" applyFill="1" applyBorder="1" applyAlignment="1">
      <alignment horizontal="center" vertical="center" wrapText="1"/>
    </xf>
    <xf numFmtId="0" fontId="23" fillId="29" borderId="64" xfId="0" applyFont="1" applyFill="1" applyBorder="1" applyAlignment="1">
      <alignment horizontal="center"/>
    </xf>
    <xf numFmtId="0" fontId="23" fillId="29" borderId="66" xfId="0" applyFont="1" applyFill="1" applyBorder="1" applyAlignment="1">
      <alignment horizontal="center"/>
    </xf>
    <xf numFmtId="0" fontId="23" fillId="36" borderId="78" xfId="0" applyFont="1" applyFill="1" applyBorder="1" applyAlignment="1">
      <alignment horizontal="center" vertical="center" wrapText="1"/>
    </xf>
    <xf numFmtId="0" fontId="23" fillId="36" borderId="79" xfId="0" applyFont="1" applyFill="1" applyBorder="1" applyAlignment="1">
      <alignment horizontal="center" vertical="center" wrapText="1"/>
    </xf>
    <xf numFmtId="0" fontId="23" fillId="36" borderId="72" xfId="0" applyFont="1" applyFill="1" applyBorder="1" applyAlignment="1">
      <alignment horizontal="center" vertical="center" wrapText="1"/>
    </xf>
    <xf numFmtId="0" fontId="23" fillId="29" borderId="56" xfId="0" applyFont="1" applyFill="1" applyBorder="1" applyAlignment="1">
      <alignment horizontal="center"/>
    </xf>
    <xf numFmtId="0" fontId="23" fillId="29" borderId="23" xfId="0" applyFont="1" applyFill="1" applyBorder="1" applyAlignment="1">
      <alignment horizontal="center"/>
    </xf>
    <xf numFmtId="0" fontId="49" fillId="30" borderId="9" xfId="0" applyFont="1" applyFill="1" applyBorder="1"/>
    <xf numFmtId="0" fontId="0" fillId="30" borderId="10" xfId="0" applyFill="1" applyBorder="1"/>
    <xf numFmtId="0" fontId="0" fillId="30" borderId="11" xfId="0" applyFill="1" applyBorder="1"/>
    <xf numFmtId="0" fontId="49" fillId="30" borderId="12" xfId="0" applyFont="1" applyFill="1" applyBorder="1"/>
    <xf numFmtId="0" fontId="0" fillId="30" borderId="0" xfId="0" applyFill="1"/>
    <xf numFmtId="0" fontId="0" fillId="30" borderId="13" xfId="0" applyFill="1" applyBorder="1"/>
    <xf numFmtId="0" fontId="50" fillId="30" borderId="14" xfId="0" applyFont="1" applyFill="1" applyBorder="1"/>
    <xf numFmtId="0" fontId="0" fillId="30" borderId="15" xfId="0" applyFill="1" applyBorder="1"/>
    <xf numFmtId="0" fontId="0" fillId="30" borderId="16" xfId="0" applyFill="1" applyBorder="1"/>
    <xf numFmtId="0" fontId="1" fillId="30" borderId="82" xfId="0" applyFont="1" applyFill="1" applyBorder="1" applyAlignment="1" applyProtection="1">
      <alignment horizontal="left" vertical="center" wrapText="1" indent="1"/>
      <protection locked="0"/>
    </xf>
    <xf numFmtId="0" fontId="1" fillId="29" borderId="18" xfId="0" applyFont="1" applyFill="1" applyBorder="1" applyAlignment="1">
      <alignment vertical="center" wrapText="1"/>
    </xf>
    <xf numFmtId="0" fontId="0" fillId="30" borderId="51" xfId="0" applyFill="1" applyBorder="1" applyProtection="1">
      <protection locked="0"/>
    </xf>
    <xf numFmtId="0" fontId="0" fillId="30" borderId="62" xfId="0" applyFill="1" applyBorder="1" applyProtection="1">
      <protection locked="0"/>
    </xf>
    <xf numFmtId="0" fontId="0" fillId="30" borderId="56" xfId="0" applyFill="1" applyBorder="1" applyProtection="1">
      <protection locked="0"/>
    </xf>
    <xf numFmtId="0" fontId="0" fillId="30" borderId="57" xfId="0" applyFill="1" applyBorder="1" applyProtection="1">
      <protection locked="0"/>
    </xf>
    <xf numFmtId="0" fontId="0" fillId="30" borderId="23" xfId="0" applyFill="1" applyBorder="1" applyProtection="1">
      <protection locked="0"/>
    </xf>
    <xf numFmtId="0" fontId="0" fillId="30" borderId="25" xfId="0" applyFill="1" applyBorder="1" applyProtection="1">
      <protection locked="0"/>
    </xf>
    <xf numFmtId="0" fontId="1" fillId="30" borderId="57" xfId="0" applyFont="1" applyFill="1" applyBorder="1" applyProtection="1">
      <protection locked="0"/>
    </xf>
    <xf numFmtId="0" fontId="23" fillId="37" borderId="57" xfId="0" applyFont="1" applyFill="1" applyBorder="1" applyAlignment="1" applyProtection="1">
      <alignment wrapText="1"/>
      <protection locked="0"/>
    </xf>
    <xf numFmtId="0" fontId="23" fillId="37" borderId="25" xfId="0" applyFont="1" applyFill="1" applyBorder="1" applyAlignment="1" applyProtection="1">
      <alignment wrapText="1"/>
      <protection locked="0"/>
    </xf>
    <xf numFmtId="0" fontId="23" fillId="37" borderId="76" xfId="0" applyFont="1" applyFill="1" applyBorder="1" applyAlignment="1" applyProtection="1">
      <alignment wrapText="1"/>
      <protection locked="0"/>
    </xf>
    <xf numFmtId="0" fontId="23" fillId="37" borderId="68" xfId="0" applyFont="1" applyFill="1" applyBorder="1" applyAlignment="1" applyProtection="1">
      <alignment wrapText="1"/>
      <protection locked="0"/>
    </xf>
    <xf numFmtId="2" fontId="23" fillId="29" borderId="69" xfId="0" applyNumberFormat="1" applyFont="1" applyFill="1" applyBorder="1" applyProtection="1">
      <protection locked="0"/>
    </xf>
    <xf numFmtId="0" fontId="1" fillId="29" borderId="68" xfId="0" applyFont="1" applyFill="1" applyBorder="1" applyAlignment="1" applyProtection="1">
      <alignment horizontal="center"/>
      <protection locked="0"/>
    </xf>
    <xf numFmtId="164" fontId="1" fillId="29" borderId="32" xfId="0" applyNumberFormat="1" applyFont="1" applyFill="1" applyBorder="1" applyAlignment="1" applyProtection="1">
      <alignment horizontal="center"/>
      <protection locked="0"/>
    </xf>
    <xf numFmtId="0" fontId="23" fillId="37" borderId="62" xfId="0" applyFont="1" applyFill="1" applyBorder="1" applyAlignment="1" applyProtection="1">
      <alignment wrapText="1"/>
      <protection locked="0"/>
    </xf>
    <xf numFmtId="0" fontId="23" fillId="37" borderId="77" xfId="0" applyFont="1" applyFill="1" applyBorder="1" applyAlignment="1" applyProtection="1">
      <alignment wrapText="1"/>
      <protection locked="0"/>
    </xf>
    <xf numFmtId="0" fontId="23" fillId="37" borderId="32" xfId="0" applyFont="1" applyFill="1" applyBorder="1" applyAlignment="1" applyProtection="1">
      <alignment wrapText="1"/>
      <protection locked="0"/>
    </xf>
    <xf numFmtId="0" fontId="23" fillId="37" borderId="36" xfId="0" applyFont="1" applyFill="1" applyBorder="1" applyAlignment="1" applyProtection="1">
      <alignment wrapText="1"/>
      <protection locked="0"/>
    </xf>
    <xf numFmtId="2" fontId="23" fillId="29" borderId="33" xfId="0" applyNumberFormat="1" applyFont="1" applyFill="1" applyBorder="1" applyProtection="1">
      <protection locked="0"/>
    </xf>
    <xf numFmtId="0" fontId="23" fillId="37" borderId="29" xfId="0" applyFont="1" applyFill="1" applyBorder="1" applyAlignment="1" applyProtection="1">
      <alignment wrapText="1"/>
      <protection locked="0"/>
    </xf>
    <xf numFmtId="0" fontId="23" fillId="37" borderId="24" xfId="0" applyFont="1" applyFill="1" applyBorder="1" applyAlignment="1" applyProtection="1">
      <alignment wrapText="1"/>
      <protection locked="0"/>
    </xf>
    <xf numFmtId="0" fontId="23" fillId="37" borderId="73" xfId="0" applyFont="1" applyFill="1" applyBorder="1" applyAlignment="1" applyProtection="1">
      <alignment wrapText="1"/>
      <protection locked="0"/>
    </xf>
    <xf numFmtId="2" fontId="23" fillId="29" borderId="74" xfId="0" applyNumberFormat="1" applyFont="1" applyFill="1" applyBorder="1" applyProtection="1">
      <protection locked="0"/>
    </xf>
    <xf numFmtId="0" fontId="1" fillId="29" borderId="70" xfId="0" applyFont="1" applyFill="1" applyBorder="1" applyAlignment="1" applyProtection="1">
      <alignment horizontal="center"/>
      <protection locked="0"/>
    </xf>
    <xf numFmtId="164" fontId="1" fillId="29" borderId="24" xfId="0" applyNumberFormat="1" applyFont="1" applyFill="1" applyBorder="1" applyAlignment="1" applyProtection="1">
      <alignment horizontal="center"/>
      <protection locked="0"/>
    </xf>
    <xf numFmtId="0" fontId="23" fillId="37" borderId="36" xfId="0" applyFont="1" applyFill="1" applyBorder="1" applyAlignment="1">
      <alignment wrapText="1"/>
    </xf>
    <xf numFmtId="0" fontId="23" fillId="37" borderId="73" xfId="0" applyFont="1" applyFill="1" applyBorder="1" applyAlignment="1">
      <alignment wrapText="1"/>
    </xf>
    <xf numFmtId="0" fontId="23" fillId="37" borderId="72" xfId="0" applyFont="1" applyFill="1" applyBorder="1" applyAlignment="1" applyProtection="1">
      <alignment wrapText="1"/>
      <protection locked="0"/>
    </xf>
    <xf numFmtId="0" fontId="23" fillId="37" borderId="67" xfId="0" applyFont="1" applyFill="1" applyBorder="1" applyAlignment="1" applyProtection="1">
      <alignment wrapText="1"/>
      <protection locked="0"/>
    </xf>
    <xf numFmtId="0" fontId="23" fillId="37" borderId="36" xfId="0" applyFont="1" applyFill="1" applyBorder="1" applyProtection="1">
      <protection locked="0"/>
    </xf>
    <xf numFmtId="0" fontId="23" fillId="30" borderId="37" xfId="0" applyFont="1" applyFill="1" applyBorder="1" applyProtection="1">
      <protection locked="0"/>
    </xf>
    <xf numFmtId="0" fontId="23" fillId="30" borderId="36" xfId="0" applyFont="1" applyFill="1" applyBorder="1" applyAlignment="1" applyProtection="1">
      <alignment wrapText="1"/>
      <protection locked="0"/>
    </xf>
    <xf numFmtId="0" fontId="23" fillId="30" borderId="36" xfId="0" applyFont="1" applyFill="1" applyBorder="1" applyProtection="1">
      <protection locked="0"/>
    </xf>
    <xf numFmtId="2" fontId="23" fillId="30" borderId="36" xfId="0" applyNumberFormat="1" applyFont="1" applyFill="1" applyBorder="1" applyAlignment="1" applyProtection="1">
      <alignment wrapText="1"/>
      <protection locked="0"/>
    </xf>
    <xf numFmtId="2" fontId="24" fillId="30" borderId="33" xfId="0" applyNumberFormat="1" applyFont="1" applyFill="1" applyBorder="1" applyProtection="1">
      <protection locked="0"/>
    </xf>
    <xf numFmtId="2" fontId="23" fillId="30" borderId="38" xfId="0" applyNumberFormat="1" applyFont="1" applyFill="1" applyBorder="1" applyProtection="1">
      <protection locked="0"/>
    </xf>
    <xf numFmtId="2" fontId="23" fillId="30" borderId="37" xfId="0" applyNumberFormat="1" applyFont="1" applyFill="1" applyBorder="1" applyProtection="1">
      <protection locked="0"/>
    </xf>
    <xf numFmtId="2" fontId="23" fillId="30" borderId="65" xfId="0" applyNumberFormat="1" applyFont="1" applyFill="1" applyBorder="1" applyAlignment="1" applyProtection="1">
      <alignment wrapText="1"/>
      <protection locked="0"/>
    </xf>
    <xf numFmtId="0" fontId="23" fillId="37" borderId="73" xfId="0" applyFont="1" applyFill="1" applyBorder="1" applyProtection="1">
      <protection locked="0"/>
    </xf>
    <xf numFmtId="0" fontId="23" fillId="30" borderId="80" xfId="0" applyFont="1" applyFill="1" applyBorder="1" applyProtection="1">
      <protection locked="0"/>
    </xf>
    <xf numFmtId="0" fontId="23" fillId="30" borderId="73" xfId="0" applyFont="1" applyFill="1" applyBorder="1" applyAlignment="1" applyProtection="1">
      <alignment wrapText="1"/>
      <protection locked="0"/>
    </xf>
    <xf numFmtId="0" fontId="23" fillId="30" borderId="73" xfId="0" applyFont="1" applyFill="1" applyBorder="1" applyProtection="1">
      <protection locked="0"/>
    </xf>
    <xf numFmtId="2" fontId="23" fillId="30" borderId="73" xfId="0" applyNumberFormat="1" applyFont="1" applyFill="1" applyBorder="1" applyAlignment="1" applyProtection="1">
      <alignment wrapText="1"/>
      <protection locked="0"/>
    </xf>
    <xf numFmtId="2" fontId="24" fillId="30" borderId="74" xfId="0" applyNumberFormat="1" applyFont="1" applyFill="1" applyBorder="1" applyProtection="1">
      <protection locked="0"/>
    </xf>
    <xf numFmtId="2" fontId="23" fillId="30" borderId="73" xfId="0" applyNumberFormat="1" applyFont="1" applyFill="1" applyBorder="1" applyProtection="1">
      <protection locked="0"/>
    </xf>
    <xf numFmtId="2" fontId="23" fillId="30" borderId="67" xfId="0" applyNumberFormat="1" applyFont="1" applyFill="1" applyBorder="1" applyAlignment="1" applyProtection="1">
      <alignment wrapText="1"/>
      <protection locked="0"/>
    </xf>
    <xf numFmtId="2" fontId="23" fillId="30" borderId="57" xfId="0" applyNumberFormat="1" applyFont="1" applyFill="1" applyBorder="1" applyAlignment="1" applyProtection="1">
      <alignment wrapText="1"/>
      <protection locked="0"/>
    </xf>
    <xf numFmtId="0" fontId="23" fillId="37" borderId="24" xfId="0" applyFont="1" applyFill="1" applyBorder="1" applyProtection="1">
      <protection locked="0"/>
    </xf>
    <xf numFmtId="2" fontId="24" fillId="30" borderId="24" xfId="0" applyNumberFormat="1" applyFont="1" applyFill="1" applyBorder="1" applyProtection="1">
      <protection locked="0"/>
    </xf>
    <xf numFmtId="0" fontId="23" fillId="30" borderId="24" xfId="0" applyFont="1" applyFill="1" applyBorder="1" applyAlignment="1" applyProtection="1">
      <alignment wrapText="1"/>
      <protection locked="0"/>
    </xf>
    <xf numFmtId="0" fontId="23" fillId="30" borderId="24" xfId="0" applyFont="1" applyFill="1" applyBorder="1" applyProtection="1">
      <protection locked="0"/>
    </xf>
    <xf numFmtId="2" fontId="23" fillId="30" borderId="24" xfId="0" applyNumberFormat="1" applyFont="1" applyFill="1" applyBorder="1" applyAlignment="1" applyProtection="1">
      <alignment wrapText="1"/>
      <protection locked="0"/>
    </xf>
    <xf numFmtId="2" fontId="23" fillId="30" borderId="25" xfId="0" applyNumberFormat="1" applyFont="1" applyFill="1" applyBorder="1" applyAlignment="1" applyProtection="1">
      <alignment wrapText="1"/>
      <protection locked="0"/>
    </xf>
    <xf numFmtId="0" fontId="1" fillId="30" borderId="9" xfId="0" applyFont="1" applyFill="1" applyBorder="1" applyAlignment="1" applyProtection="1">
      <alignment horizontal="left" vertical="top" wrapText="1"/>
      <protection locked="0"/>
    </xf>
    <xf numFmtId="0" fontId="1" fillId="30" borderId="11" xfId="0" applyFont="1" applyFill="1" applyBorder="1" applyAlignment="1" applyProtection="1">
      <alignment horizontal="left" vertical="top" wrapText="1"/>
      <protection locked="0"/>
    </xf>
    <xf numFmtId="0" fontId="1" fillId="30" borderId="12" xfId="0" applyFont="1" applyFill="1" applyBorder="1" applyAlignment="1" applyProtection="1">
      <alignment horizontal="left" vertical="top" wrapText="1"/>
      <protection locked="0"/>
    </xf>
    <xf numFmtId="0" fontId="1" fillId="30" borderId="13" xfId="0" applyFont="1" applyFill="1" applyBorder="1" applyAlignment="1" applyProtection="1">
      <alignment horizontal="left" vertical="top" wrapText="1"/>
      <protection locked="0"/>
    </xf>
    <xf numFmtId="0" fontId="1" fillId="30" borderId="14" xfId="0" applyFont="1" applyFill="1" applyBorder="1" applyAlignment="1" applyProtection="1">
      <alignment horizontal="left" vertical="top" wrapText="1"/>
      <protection locked="0"/>
    </xf>
    <xf numFmtId="0" fontId="1" fillId="30" borderId="16" xfId="0" applyFont="1" applyFill="1" applyBorder="1" applyAlignment="1" applyProtection="1">
      <alignment horizontal="left" vertical="top" wrapText="1"/>
      <protection locked="0"/>
    </xf>
    <xf numFmtId="0" fontId="24" fillId="40" borderId="9" xfId="0" applyFont="1" applyFill="1" applyBorder="1" applyAlignment="1">
      <alignment horizontal="center" vertical="center" wrapText="1"/>
    </xf>
    <xf numFmtId="0" fontId="24" fillId="40" borderId="10" xfId="0" applyFont="1" applyFill="1" applyBorder="1" applyAlignment="1">
      <alignment horizontal="center" vertical="center" wrapText="1"/>
    </xf>
    <xf numFmtId="0" fontId="24" fillId="40" borderId="11" xfId="0" applyFont="1" applyFill="1" applyBorder="1" applyAlignment="1">
      <alignment horizontal="center" vertical="center" wrapText="1"/>
    </xf>
    <xf numFmtId="0" fontId="24" fillId="40" borderId="12" xfId="0" applyFont="1" applyFill="1" applyBorder="1" applyAlignment="1">
      <alignment horizontal="center" vertical="center" wrapText="1"/>
    </xf>
    <xf numFmtId="0" fontId="24" fillId="40" borderId="0" xfId="0" applyFont="1" applyFill="1" applyAlignment="1">
      <alignment horizontal="center" vertical="center" wrapText="1"/>
    </xf>
    <xf numFmtId="0" fontId="24" fillId="40" borderId="13" xfId="0" applyFont="1" applyFill="1" applyBorder="1" applyAlignment="1">
      <alignment horizontal="center" vertical="center" wrapText="1"/>
    </xf>
    <xf numFmtId="0" fontId="24" fillId="40" borderId="14" xfId="0" applyFont="1" applyFill="1" applyBorder="1" applyAlignment="1">
      <alignment horizontal="center" vertical="center" wrapText="1"/>
    </xf>
    <xf numFmtId="0" fontId="24" fillId="40" borderId="15" xfId="0" applyFont="1" applyFill="1" applyBorder="1" applyAlignment="1">
      <alignment horizontal="center" vertical="center" wrapText="1"/>
    </xf>
    <xf numFmtId="0" fontId="24" fillId="40" borderId="16" xfId="0" applyFont="1" applyFill="1" applyBorder="1" applyAlignment="1">
      <alignment horizontal="center" vertical="center" wrapText="1"/>
    </xf>
    <xf numFmtId="0" fontId="26" fillId="28" borderId="0" xfId="0" applyFont="1" applyFill="1" applyAlignment="1">
      <alignment horizontal="left" vertical="top" wrapText="1"/>
    </xf>
    <xf numFmtId="0" fontId="23" fillId="36" borderId="20" xfId="0" applyFont="1" applyFill="1" applyBorder="1" applyAlignment="1">
      <alignment horizontal="center" vertical="center" wrapText="1"/>
    </xf>
    <xf numFmtId="0" fontId="1" fillId="29" borderId="21" xfId="0" applyFont="1" applyFill="1" applyBorder="1" applyAlignment="1">
      <alignment horizontal="center" vertical="center"/>
    </xf>
    <xf numFmtId="0" fontId="23" fillId="29" borderId="56" xfId="0" applyFont="1" applyFill="1" applyBorder="1" applyAlignment="1">
      <alignment horizontal="left" wrapText="1"/>
    </xf>
    <xf numFmtId="0" fontId="23" fillId="29" borderId="23" xfId="0" applyFont="1" applyFill="1" applyBorder="1" applyAlignment="1">
      <alignment horizontal="left" wrapText="1"/>
    </xf>
    <xf numFmtId="0" fontId="1" fillId="28" borderId="10" xfId="0" applyFont="1" applyFill="1" applyBorder="1" applyAlignment="1">
      <alignment horizontal="left" wrapText="1"/>
    </xf>
    <xf numFmtId="0" fontId="1" fillId="28" borderId="0" xfId="0" applyFont="1" applyFill="1" applyAlignment="1">
      <alignment horizontal="left" wrapText="1"/>
    </xf>
    <xf numFmtId="0" fontId="17" fillId="24" borderId="9" xfId="0" applyFont="1" applyFill="1" applyBorder="1" applyAlignment="1">
      <alignment horizontal="center"/>
    </xf>
    <xf numFmtId="0" fontId="17" fillId="24" borderId="11" xfId="0" applyFont="1" applyFill="1" applyBorder="1" applyAlignment="1">
      <alignment horizontal="center"/>
    </xf>
    <xf numFmtId="0" fontId="17" fillId="26" borderId="12" xfId="0" applyFont="1" applyFill="1" applyBorder="1" applyAlignment="1">
      <alignment horizontal="center"/>
    </xf>
    <xf numFmtId="0" fontId="17" fillId="26" borderId="13" xfId="0" applyFont="1" applyFill="1" applyBorder="1" applyAlignment="1">
      <alignment horizontal="center"/>
    </xf>
    <xf numFmtId="0" fontId="1" fillId="28" borderId="0" xfId="0" applyFont="1" applyFill="1" applyAlignment="1">
      <alignment horizontal="left" vertical="top" wrapText="1"/>
    </xf>
    <xf numFmtId="0" fontId="0" fillId="28" borderId="0" xfId="0" applyFill="1" applyAlignment="1">
      <alignment horizontal="left" vertical="top" wrapText="1"/>
    </xf>
    <xf numFmtId="0" fontId="1" fillId="28" borderId="0" xfId="0" applyFont="1" applyFill="1" applyAlignment="1" applyProtection="1">
      <alignment horizontal="left" vertical="top" wrapText="1"/>
      <protection locked="0"/>
    </xf>
    <xf numFmtId="0" fontId="17" fillId="26" borderId="18" xfId="0" applyFont="1" applyFill="1" applyBorder="1" applyAlignment="1">
      <alignment horizontal="center" wrapText="1"/>
    </xf>
    <xf numFmtId="0" fontId="17" fillId="26" borderId="19" xfId="0" applyFont="1" applyFill="1" applyBorder="1" applyAlignment="1">
      <alignment horizontal="center" wrapText="1"/>
    </xf>
    <xf numFmtId="0" fontId="17" fillId="26" borderId="17" xfId="0" applyFont="1" applyFill="1" applyBorder="1" applyAlignment="1">
      <alignment horizontal="center" wrapText="1"/>
    </xf>
    <xf numFmtId="0" fontId="17" fillId="24" borderId="9" xfId="0" applyFont="1" applyFill="1" applyBorder="1" applyAlignment="1">
      <alignment horizontal="center" vertical="center"/>
    </xf>
    <xf numFmtId="0" fontId="17" fillId="24" borderId="10" xfId="0" applyFont="1" applyFill="1" applyBorder="1" applyAlignment="1">
      <alignment horizontal="center" vertical="center"/>
    </xf>
    <xf numFmtId="0" fontId="17" fillId="24" borderId="12" xfId="0" applyFont="1" applyFill="1" applyBorder="1" applyAlignment="1">
      <alignment horizontal="center" vertical="center"/>
    </xf>
    <xf numFmtId="0" fontId="17" fillId="24" borderId="0" xfId="0" applyFont="1" applyFill="1" applyAlignment="1">
      <alignment horizontal="center" vertical="center"/>
    </xf>
    <xf numFmtId="0" fontId="17" fillId="24" borderId="47" xfId="0" applyFont="1" applyFill="1" applyBorder="1" applyAlignment="1">
      <alignment horizontal="center"/>
    </xf>
    <xf numFmtId="0" fontId="17" fillId="24" borderId="45" xfId="0" applyFont="1" applyFill="1" applyBorder="1" applyAlignment="1">
      <alignment horizontal="center"/>
    </xf>
    <xf numFmtId="0" fontId="17" fillId="24" borderId="46"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49" fontId="0" fillId="0" borderId="30" xfId="0" applyNumberFormat="1" applyBorder="1" applyAlignment="1">
      <alignment horizontal="center"/>
    </xf>
    <xf numFmtId="49" fontId="0" fillId="0" borderId="29" xfId="0" applyNumberFormat="1" applyBorder="1" applyAlignment="1">
      <alignment horizont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24" borderId="30" xfId="0" applyFont="1" applyFill="1" applyBorder="1" applyAlignment="1">
      <alignment horizontal="center"/>
    </xf>
    <xf numFmtId="0" fontId="17" fillId="24" borderId="29" xfId="0" applyFont="1" applyFill="1"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17" fillId="26" borderId="47" xfId="0" applyFont="1" applyFill="1" applyBorder="1" applyAlignment="1">
      <alignment horizontal="center" vertical="center" wrapText="1"/>
    </xf>
    <xf numFmtId="0" fontId="17" fillId="26" borderId="46" xfId="0" applyFont="1" applyFill="1" applyBorder="1" applyAlignment="1">
      <alignment horizontal="center" vertical="center" wrapText="1"/>
    </xf>
    <xf numFmtId="0" fontId="17" fillId="26" borderId="49" xfId="0" applyFont="1" applyFill="1" applyBorder="1" applyAlignment="1">
      <alignment horizontal="center" vertical="center"/>
    </xf>
    <xf numFmtId="0" fontId="17" fillId="26" borderId="50" xfId="0" applyFont="1" applyFill="1" applyBorder="1" applyAlignment="1">
      <alignment horizontal="center" vertical="center"/>
    </xf>
    <xf numFmtId="0" fontId="1" fillId="29" borderId="83" xfId="0" applyFont="1" applyFill="1" applyBorder="1" applyAlignment="1">
      <alignment vertical="center"/>
    </xf>
    <xf numFmtId="0" fontId="1" fillId="30" borderId="84" xfId="0" applyFont="1" applyFill="1" applyBorder="1" applyAlignment="1" applyProtection="1">
      <alignment horizontal="left" vertical="center" wrapText="1" indent="1"/>
      <protection locked="0"/>
    </xf>
    <xf numFmtId="0" fontId="1" fillId="29" borderId="85" xfId="0" applyFont="1" applyFill="1" applyBorder="1" applyAlignment="1">
      <alignment vertical="center"/>
    </xf>
    <xf numFmtId="0" fontId="1" fillId="30" borderId="86" xfId="0" applyFont="1" applyFill="1" applyBorder="1" applyAlignment="1" applyProtection="1">
      <alignment horizontal="left" vertical="center" indent="1"/>
      <protection locked="0"/>
    </xf>
    <xf numFmtId="0" fontId="1" fillId="30" borderId="87" xfId="0" applyFont="1" applyFill="1" applyBorder="1" applyAlignment="1" applyProtection="1">
      <alignment horizontal="left" vertical="center" indent="1"/>
      <protection locked="0"/>
    </xf>
    <xf numFmtId="0" fontId="1" fillId="29" borderId="88" xfId="0" applyFont="1" applyFill="1" applyBorder="1" applyAlignment="1">
      <alignment vertical="center"/>
    </xf>
    <xf numFmtId="0" fontId="1" fillId="30" borderId="87" xfId="0" applyFont="1" applyFill="1" applyBorder="1" applyAlignment="1" applyProtection="1">
      <alignment horizontal="left" vertical="center" wrapText="1" indent="1"/>
      <protection locked="0"/>
    </xf>
    <xf numFmtId="0" fontId="17" fillId="28" borderId="32" xfId="0" applyFont="1" applyFill="1" applyBorder="1"/>
    <xf numFmtId="0" fontId="1" fillId="28" borderId="32" xfId="0" applyFont="1" applyFill="1" applyBorder="1"/>
    <xf numFmtId="0" fontId="30" fillId="43" borderId="89" xfId="0" applyFont="1" applyFill="1" applyBorder="1" applyAlignment="1" applyProtection="1">
      <alignment vertical="center"/>
      <protection locked="0"/>
    </xf>
    <xf numFmtId="0" fontId="1" fillId="29" borderId="32" xfId="0" applyFont="1" applyFill="1" applyBorder="1" applyAlignment="1"/>
    <xf numFmtId="0" fontId="1" fillId="29" borderId="24" xfId="0" applyFont="1" applyFill="1" applyBorder="1" applyAlignment="1"/>
    <xf numFmtId="0" fontId="1" fillId="44" borderId="32" xfId="0" applyFont="1" applyFill="1" applyBorder="1" applyAlignment="1">
      <alignment horizontal="center" vertical="center" wrapText="1"/>
    </xf>
    <xf numFmtId="0" fontId="0" fillId="0" borderId="32" xfId="0" applyBorder="1"/>
    <xf numFmtId="0" fontId="0" fillId="0" borderId="32" xfId="0" applyBorder="1" applyAlignment="1">
      <alignment horizontal="center"/>
    </xf>
    <xf numFmtId="0" fontId="17" fillId="24" borderId="90" xfId="0" applyFont="1" applyFill="1" applyBorder="1" applyAlignment="1">
      <alignment horizontal="center"/>
    </xf>
    <xf numFmtId="0" fontId="17" fillId="24" borderId="91" xfId="0" applyFont="1" applyFill="1" applyBorder="1" applyAlignment="1">
      <alignment horizontal="center"/>
    </xf>
    <xf numFmtId="0" fontId="1" fillId="0" borderId="47" xfId="0" applyFont="1" applyBorder="1" applyAlignment="1">
      <alignment horizontal="center"/>
    </xf>
    <xf numFmtId="0" fontId="1" fillId="0" borderId="46" xfId="0"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23" fillId="37" borderId="32" xfId="0" applyFont="1" applyFill="1" applyBorder="1" applyProtection="1">
      <protection locked="0"/>
    </xf>
    <xf numFmtId="2" fontId="24" fillId="30" borderId="32" xfId="0" applyNumberFormat="1" applyFont="1" applyFill="1" applyBorder="1" applyProtection="1">
      <protection locked="0"/>
    </xf>
    <xf numFmtId="0" fontId="23" fillId="30" borderId="32" xfId="0" applyFont="1" applyFill="1" applyBorder="1" applyAlignment="1" applyProtection="1">
      <alignment wrapText="1"/>
      <protection locked="0"/>
    </xf>
    <xf numFmtId="0" fontId="23" fillId="30" borderId="32" xfId="0" applyFont="1" applyFill="1" applyBorder="1" applyProtection="1">
      <protection locked="0"/>
    </xf>
    <xf numFmtId="2" fontId="23" fillId="30" borderId="32" xfId="0" applyNumberFormat="1" applyFont="1" applyFill="1" applyBorder="1" applyAlignment="1" applyProtection="1">
      <alignment wrapText="1"/>
      <protection locked="0"/>
    </xf>
    <xf numFmtId="0" fontId="17" fillId="26" borderId="92" xfId="0" applyFont="1" applyFill="1" applyBorder="1" applyAlignment="1">
      <alignment horizontal="center"/>
    </xf>
    <xf numFmtId="0" fontId="1" fillId="28" borderId="20" xfId="0" applyFont="1" applyFill="1" applyBorder="1"/>
    <xf numFmtId="0" fontId="1" fillId="28" borderId="22" xfId="0" applyFont="1" applyFill="1" applyBorder="1" applyAlignment="1">
      <alignment horizontal="center"/>
    </xf>
    <xf numFmtId="0" fontId="1" fillId="28" borderId="23" xfId="0" applyFont="1" applyFill="1" applyBorder="1"/>
    <xf numFmtId="49" fontId="1" fillId="28" borderId="25" xfId="0" applyNumberFormat="1" applyFont="1" applyFill="1" applyBorder="1" applyAlignment="1">
      <alignment horizontal="center"/>
    </xf>
  </cellXfs>
  <cellStyles count="4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Salida" xfId="33" builtinId="21" customBuiltin="1"/>
    <cellStyle name="Texto de advertencia" xfId="34" builtinId="11" customBuiltin="1"/>
    <cellStyle name="Texto explicativo" xfId="35" builtinId="53" customBuiltin="1"/>
    <cellStyle name="Título" xfId="36" builtinId="15" customBuiltin="1"/>
    <cellStyle name="Título 2" xfId="37" builtinId="17" customBuiltin="1"/>
    <cellStyle name="Título 3" xfId="38" builtinId="18" customBuiltin="1"/>
    <cellStyle name="Total" xfId="39" builtinId="25" customBuiltin="1"/>
  </cellStyles>
  <dxfs count="20">
    <dxf>
      <font>
        <b val="0"/>
        <i val="0"/>
        <strike val="0"/>
        <condense val="0"/>
        <extend val="0"/>
        <outline val="0"/>
        <shadow val="0"/>
        <u val="none"/>
        <vertAlign val="baseline"/>
        <sz val="10"/>
        <color theme="1"/>
        <name val="Arial"/>
        <family val="2"/>
        <scheme val="none"/>
      </font>
      <fill>
        <patternFill>
          <bgColor theme="0"/>
        </patternFill>
      </fill>
      <border diagonalUp="0" diagonalDown="0">
        <left style="thin">
          <color rgb="FF000000"/>
        </left>
        <right style="medium">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fill>
        <patternFill>
          <bgColor theme="0"/>
        </patternFill>
      </fill>
      <border diagonalUp="0" diagonalDown="0">
        <left style="medium">
          <color rgb="FF000000"/>
        </left>
        <right style="thin">
          <color rgb="FF000000"/>
        </right>
        <top style="thin">
          <color rgb="FF000000"/>
        </top>
        <bottom style="thin">
          <color rgb="FF000000"/>
        </bottom>
        <vertical/>
        <horizontal/>
      </border>
    </dxf>
    <dxf>
      <border outline="0">
        <bottom style="medium">
          <color indexed="64"/>
        </bottom>
      </border>
    </dxf>
    <dxf>
      <border outline="0">
        <top style="medium">
          <color indexed="64"/>
        </top>
        <bottom style="medium">
          <color rgb="FF000000"/>
        </bottom>
      </border>
    </dxf>
    <dxf>
      <font>
        <b/>
        <i val="0"/>
        <strike val="0"/>
        <condense val="0"/>
        <extend val="0"/>
        <outline val="0"/>
        <shadow val="0"/>
        <u val="none"/>
        <vertAlign val="baseline"/>
        <sz val="10"/>
        <color auto="1"/>
        <name val="Arial"/>
        <family val="2"/>
        <scheme val="none"/>
      </font>
      <fill>
        <patternFill patternType="solid">
          <fgColor indexed="64"/>
          <bgColor indexed="11"/>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fill>
        <patternFill>
          <bgColor theme="0"/>
        </patternFill>
      </fill>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fill>
        <patternFill>
          <bgColor theme="0"/>
        </patternFill>
      </fill>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medium">
          <color indexed="64"/>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theme="1"/>
        <name val="Arial"/>
        <family val="2"/>
        <scheme val="none"/>
      </font>
      <fill>
        <patternFill>
          <bgColor theme="0"/>
        </patternFill>
      </fill>
      <border diagonalUp="0" diagonalDown="0">
        <left style="thin">
          <color rgb="FF000000"/>
        </left>
        <right style="medium">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fill>
        <patternFill>
          <bgColor theme="0"/>
        </patternFill>
      </fill>
      <border diagonalUp="0" diagonalDown="0">
        <left style="medium">
          <color rgb="FF000000"/>
        </left>
        <right style="thin">
          <color rgb="FF000000"/>
        </right>
        <top style="thin">
          <color rgb="FF000000"/>
        </top>
        <bottom style="thin">
          <color rgb="FF000000"/>
        </bottom>
        <vertical/>
        <horizontal/>
      </border>
    </dxf>
    <dxf>
      <border outline="0">
        <bottom style="medium">
          <color indexed="64"/>
        </bottom>
      </border>
    </dxf>
    <dxf>
      <border outline="0">
        <top style="medium">
          <color rgb="FF000000"/>
        </top>
        <bottom style="medium">
          <color rgb="FF000000"/>
        </bottom>
      </border>
    </dxf>
    <dxf>
      <font>
        <b/>
        <i val="0"/>
        <strike val="0"/>
        <condense val="0"/>
        <extend val="0"/>
        <outline val="0"/>
        <shadow val="0"/>
        <u val="none"/>
        <vertAlign val="baseline"/>
        <sz val="10"/>
        <color auto="1"/>
        <name val="Arial"/>
        <family val="2"/>
        <scheme val="none"/>
      </font>
      <fill>
        <patternFill patternType="solid">
          <fgColor indexed="64"/>
          <bgColor indexed="11"/>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ill>
        <patternFill>
          <bgColor theme="0"/>
        </patternFill>
      </fill>
      <alignment horizontal="right" vertical="bottom" textRotation="0" wrapText="0" indent="0" justifyLastLine="0" shrinkToFit="0" readingOrder="0"/>
    </dxf>
    <dxf>
      <fill>
        <patternFill>
          <bgColor theme="0"/>
        </patternFill>
      </fill>
      <alignment horizontal="right" vertical="bottom" textRotation="0" wrapText="0" indent="0" justifyLastLine="0" shrinkToFit="0" readingOrder="0"/>
    </dxf>
    <dxf>
      <fill>
        <patternFill>
          <bgColor theme="0"/>
        </patternFill>
      </fill>
      <alignment horizontal="center" vertical="bottom" textRotation="0" wrapText="0" indent="0" justifyLastLine="0" shrinkToFit="0" readingOrder="0"/>
    </dxf>
    <dxf>
      <border outline="0">
        <bottom style="medium">
          <color indexed="64"/>
        </bottom>
      </border>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00FF00"/>
      <color rgb="FFFFDD71"/>
      <color rgb="FF008000"/>
      <color rgb="FF99CCFF"/>
      <color rgb="FF92D050"/>
      <color rgb="FFF2F2F2"/>
      <color rgb="FFFF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991378</xdr:colOff>
      <xdr:row>34</xdr:row>
      <xdr:rowOff>0</xdr:rowOff>
    </xdr:from>
    <xdr:to>
      <xdr:col>0</xdr:col>
      <xdr:colOff>8261046</xdr:colOff>
      <xdr:row>72</xdr:row>
      <xdr:rowOff>80953</xdr:rowOff>
    </xdr:to>
    <xdr:pic>
      <xdr:nvPicPr>
        <xdr:cNvPr id="3" name="Imagen 2">
          <a:extLst>
            <a:ext uri="{FF2B5EF4-FFF2-40B4-BE49-F238E27FC236}">
              <a16:creationId xmlns:a16="http://schemas.microsoft.com/office/drawing/2014/main" id="{4040C1F1-CA7F-4F42-AAB4-DA0CA1B2EB84}"/>
            </a:ext>
          </a:extLst>
        </xdr:cNvPr>
        <xdr:cNvPicPr>
          <a:picLocks noChangeAspect="1"/>
        </xdr:cNvPicPr>
      </xdr:nvPicPr>
      <xdr:blipFill>
        <a:blip xmlns:r="http://schemas.openxmlformats.org/officeDocument/2006/relationships" r:embed="rId1"/>
        <a:stretch>
          <a:fillRect/>
        </a:stretch>
      </xdr:blipFill>
      <xdr:spPr>
        <a:xfrm>
          <a:off x="991378" y="6793850"/>
          <a:ext cx="7269668" cy="7448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38100</xdr:rowOff>
    </xdr:from>
    <xdr:to>
      <xdr:col>8</xdr:col>
      <xdr:colOff>1228725</xdr:colOff>
      <xdr:row>13</xdr:row>
      <xdr:rowOff>76200</xdr:rowOff>
    </xdr:to>
    <xdr:sp macro="" textlink="">
      <xdr:nvSpPr>
        <xdr:cNvPr id="2" name="Rectangle 4">
          <a:extLst>
            <a:ext uri="{FF2B5EF4-FFF2-40B4-BE49-F238E27FC236}">
              <a16:creationId xmlns:a16="http://schemas.microsoft.com/office/drawing/2014/main" id="{F29722F4-408D-4400-B81E-692E7FD4F89B}"/>
            </a:ext>
          </a:extLst>
        </xdr:cNvPr>
        <xdr:cNvSpPr>
          <a:spLocks noChangeArrowheads="1"/>
        </xdr:cNvSpPr>
      </xdr:nvSpPr>
      <xdr:spPr bwMode="auto">
        <a:xfrm>
          <a:off x="10229850" y="1685925"/>
          <a:ext cx="2562225" cy="36195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l" rtl="0">
            <a:lnSpc>
              <a:spcPts val="1100"/>
            </a:lnSpc>
            <a:defRPr sz="1000"/>
          </a:pPr>
          <a:r>
            <a:rPr lang="es-ES" sz="1000" b="1" i="0" u="none" strike="noStrike" baseline="0">
              <a:solidFill>
                <a:srgbClr val="000000"/>
              </a:solidFill>
              <a:latin typeface="Arial"/>
              <a:cs typeface="Arial"/>
            </a:rPr>
            <a:t>Carga Contaminante anual emitida - Perforación húmeda (kg/año) = </a:t>
          </a:r>
          <a:r>
            <a:rPr lang="es-ES" sz="1000" b="1" i="0" u="none" strike="noStrike" baseline="0">
              <a:solidFill>
                <a:srgbClr val="000000"/>
              </a:solidFill>
              <a:latin typeface="Symbol"/>
              <a:cs typeface="Arial"/>
            </a:rPr>
            <a:t>å (</a:t>
          </a:r>
          <a:r>
            <a:rPr lang="es-ES" sz="1000" b="1" i="0" u="none" strike="noStrike" baseline="0">
              <a:solidFill>
                <a:srgbClr val="000000"/>
              </a:solidFill>
              <a:latin typeface="Arial"/>
              <a:cs typeface="Arial"/>
            </a:rPr>
            <a:t>FE*C)</a:t>
          </a:r>
        </a:p>
      </xdr:txBody>
    </xdr:sp>
    <xdr:clientData/>
  </xdr:twoCellAnchor>
  <xdr:twoCellAnchor>
    <xdr:from>
      <xdr:col>7</xdr:col>
      <xdr:colOff>19052</xdr:colOff>
      <xdr:row>14</xdr:row>
      <xdr:rowOff>133350</xdr:rowOff>
    </xdr:from>
    <xdr:to>
      <xdr:col>8</xdr:col>
      <xdr:colOff>1228726</xdr:colOff>
      <xdr:row>16</xdr:row>
      <xdr:rowOff>114300</xdr:rowOff>
    </xdr:to>
    <xdr:sp macro="" textlink="">
      <xdr:nvSpPr>
        <xdr:cNvPr id="3" name="Rectangle 4">
          <a:extLst>
            <a:ext uri="{FF2B5EF4-FFF2-40B4-BE49-F238E27FC236}">
              <a16:creationId xmlns:a16="http://schemas.microsoft.com/office/drawing/2014/main" id="{27A126BD-384C-4C7A-A6B1-2EA02A424403}"/>
            </a:ext>
          </a:extLst>
        </xdr:cNvPr>
        <xdr:cNvSpPr>
          <a:spLocks noChangeArrowheads="1"/>
        </xdr:cNvSpPr>
      </xdr:nvSpPr>
      <xdr:spPr bwMode="auto">
        <a:xfrm>
          <a:off x="10248902" y="2266950"/>
          <a:ext cx="2543174" cy="3905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l" rtl="0">
            <a:lnSpc>
              <a:spcPts val="1100"/>
            </a:lnSpc>
            <a:defRPr sz="1000"/>
          </a:pPr>
          <a:r>
            <a:rPr lang="es-ES" sz="1000" b="1" i="0" u="none" strike="noStrike" baseline="0">
              <a:solidFill>
                <a:srgbClr val="000000"/>
              </a:solidFill>
              <a:latin typeface="Arial"/>
              <a:cs typeface="Arial"/>
            </a:rPr>
            <a:t>Carga Contaminante anual emitida - Voladura (kg/año) = </a:t>
          </a:r>
          <a:r>
            <a:rPr lang="es-ES" sz="1000" b="1" i="0" u="none" strike="noStrike" baseline="0">
              <a:solidFill>
                <a:srgbClr val="000000"/>
              </a:solidFill>
              <a:latin typeface="Symbol"/>
              <a:cs typeface="Arial"/>
            </a:rPr>
            <a:t>å (</a:t>
          </a:r>
          <a:r>
            <a:rPr lang="es-ES" sz="1000" b="1" i="0" u="none" strike="noStrike" baseline="0">
              <a:solidFill>
                <a:srgbClr val="000000"/>
              </a:solidFill>
              <a:latin typeface="Arial"/>
              <a:cs typeface="Arial"/>
            </a:rPr>
            <a:t>FE*A^1,5)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31936</xdr:colOff>
      <xdr:row>37</xdr:row>
      <xdr:rowOff>163046</xdr:rowOff>
    </xdr:from>
    <xdr:to>
      <xdr:col>11</xdr:col>
      <xdr:colOff>0</xdr:colOff>
      <xdr:row>39</xdr:row>
      <xdr:rowOff>142875</xdr:rowOff>
    </xdr:to>
    <xdr:sp macro="" textlink="">
      <xdr:nvSpPr>
        <xdr:cNvPr id="2" name="Rectangle 4">
          <a:extLst>
            <a:ext uri="{FF2B5EF4-FFF2-40B4-BE49-F238E27FC236}">
              <a16:creationId xmlns:a16="http://schemas.microsoft.com/office/drawing/2014/main" id="{E33925BD-DC5A-454F-B31F-AC6EB106056B}"/>
            </a:ext>
          </a:extLst>
        </xdr:cNvPr>
        <xdr:cNvSpPr>
          <a:spLocks noChangeArrowheads="1"/>
        </xdr:cNvSpPr>
      </xdr:nvSpPr>
      <xdr:spPr bwMode="auto">
        <a:xfrm>
          <a:off x="10147486" y="7402046"/>
          <a:ext cx="3016064" cy="389404"/>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s-ES" sz="1000" b="1" i="0" u="none" strike="noStrike" baseline="0">
              <a:solidFill>
                <a:srgbClr val="000000"/>
              </a:solidFill>
              <a:latin typeface="Arial"/>
              <a:cs typeface="Arial"/>
            </a:rPr>
            <a:t>Carga Contaminante anual emitida (kg/año) = </a:t>
          </a:r>
          <a:r>
            <a:rPr lang="es-ES" sz="1000" b="1" i="0" u="none" strike="noStrike" baseline="0">
              <a:solidFill>
                <a:srgbClr val="000000"/>
              </a:solidFill>
              <a:latin typeface="Symbol"/>
              <a:cs typeface="Arial"/>
            </a:rPr>
            <a:t>å (</a:t>
          </a:r>
          <a:r>
            <a:rPr lang="es-ES" sz="1000" b="1" i="0" u="none" strike="noStrike" baseline="0">
              <a:solidFill>
                <a:srgbClr val="000000"/>
              </a:solidFill>
              <a:latin typeface="Arial"/>
              <a:cs typeface="Arial"/>
            </a:rPr>
            <a:t>FEi*Ci)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6</xdr:row>
      <xdr:rowOff>610260</xdr:rowOff>
    </xdr:from>
    <xdr:to>
      <xdr:col>18</xdr:col>
      <xdr:colOff>1527969</xdr:colOff>
      <xdr:row>6</xdr:row>
      <xdr:rowOff>992187</xdr:rowOff>
    </xdr:to>
    <xdr:sp macro="" textlink="">
      <xdr:nvSpPr>
        <xdr:cNvPr id="2" name="Rectangle 5">
          <a:extLst>
            <a:ext uri="{FF2B5EF4-FFF2-40B4-BE49-F238E27FC236}">
              <a16:creationId xmlns:a16="http://schemas.microsoft.com/office/drawing/2014/main" id="{1F0947D8-652C-47D4-8052-3AD19020CE54}"/>
            </a:ext>
          </a:extLst>
        </xdr:cNvPr>
        <xdr:cNvSpPr>
          <a:spLocks noChangeArrowheads="1"/>
        </xdr:cNvSpPr>
      </xdr:nvSpPr>
      <xdr:spPr bwMode="auto">
        <a:xfrm>
          <a:off x="15240000" y="1602448"/>
          <a:ext cx="3075782" cy="381927"/>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Factor de emisión (kg/t material manipulado) = k*0,0016* [(U/2,2)^1,3]/[(M/2)^1,4]</a:t>
          </a:r>
        </a:p>
      </xdr:txBody>
    </xdr:sp>
    <xdr:clientData/>
  </xdr:twoCellAnchor>
  <xdr:twoCellAnchor>
    <xdr:from>
      <xdr:col>17</xdr:col>
      <xdr:colOff>19843</xdr:colOff>
      <xdr:row>41</xdr:row>
      <xdr:rowOff>7059</xdr:rowOff>
    </xdr:from>
    <xdr:to>
      <xdr:col>18</xdr:col>
      <xdr:colOff>1547811</xdr:colOff>
      <xdr:row>43</xdr:row>
      <xdr:rowOff>47624</xdr:rowOff>
    </xdr:to>
    <xdr:sp macro="" textlink="">
      <xdr:nvSpPr>
        <xdr:cNvPr id="3" name="Rectangle 6">
          <a:extLst>
            <a:ext uri="{FF2B5EF4-FFF2-40B4-BE49-F238E27FC236}">
              <a16:creationId xmlns:a16="http://schemas.microsoft.com/office/drawing/2014/main" id="{EE1D5489-08A7-43F0-9CCF-A44FFC2344E5}"/>
            </a:ext>
          </a:extLst>
        </xdr:cNvPr>
        <xdr:cNvSpPr>
          <a:spLocks noChangeArrowheads="1"/>
        </xdr:cNvSpPr>
      </xdr:nvSpPr>
      <xdr:spPr bwMode="auto">
        <a:xfrm>
          <a:off x="15259843" y="7736200"/>
          <a:ext cx="3075781" cy="35806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sin medidas correctoras (kg/año) = FE*C</a:t>
          </a:r>
        </a:p>
      </xdr:txBody>
    </xdr:sp>
    <xdr:clientData/>
  </xdr:twoCellAnchor>
  <xdr:twoCellAnchor>
    <xdr:from>
      <xdr:col>17</xdr:col>
      <xdr:colOff>19843</xdr:colOff>
      <xdr:row>44</xdr:row>
      <xdr:rowOff>5715</xdr:rowOff>
    </xdr:from>
    <xdr:to>
      <xdr:col>18</xdr:col>
      <xdr:colOff>1547811</xdr:colOff>
      <xdr:row>46</xdr:row>
      <xdr:rowOff>37234</xdr:rowOff>
    </xdr:to>
    <xdr:sp macro="" textlink="">
      <xdr:nvSpPr>
        <xdr:cNvPr id="4" name="Rectangle 6">
          <a:extLst>
            <a:ext uri="{FF2B5EF4-FFF2-40B4-BE49-F238E27FC236}">
              <a16:creationId xmlns:a16="http://schemas.microsoft.com/office/drawing/2014/main" id="{BEA336D9-1EF8-464F-9B13-F23461CA3CFF}"/>
            </a:ext>
          </a:extLst>
        </xdr:cNvPr>
        <xdr:cNvSpPr>
          <a:spLocks noChangeArrowheads="1"/>
        </xdr:cNvSpPr>
      </xdr:nvSpPr>
      <xdr:spPr bwMode="auto">
        <a:xfrm>
          <a:off x="15259843" y="8211106"/>
          <a:ext cx="3075781" cy="349019"/>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(kg/año) = CC sin medidas * (1-(Eficacia/100))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28577</xdr:colOff>
      <xdr:row>8</xdr:row>
      <xdr:rowOff>287284</xdr:rowOff>
    </xdr:from>
    <xdr:to>
      <xdr:col>29</xdr:col>
      <xdr:colOff>731582</xdr:colOff>
      <xdr:row>8</xdr:row>
      <xdr:rowOff>560745</xdr:rowOff>
    </xdr:to>
    <xdr:sp macro="" textlink="">
      <xdr:nvSpPr>
        <xdr:cNvPr id="2" name="Rectangle 5">
          <a:extLst>
            <a:ext uri="{FF2B5EF4-FFF2-40B4-BE49-F238E27FC236}">
              <a16:creationId xmlns:a16="http://schemas.microsoft.com/office/drawing/2014/main" id="{2276B26C-5C39-4917-AF62-6D78664A444A}"/>
            </a:ext>
          </a:extLst>
        </xdr:cNvPr>
        <xdr:cNvSpPr>
          <a:spLocks noChangeArrowheads="1"/>
        </xdr:cNvSpPr>
      </xdr:nvSpPr>
      <xdr:spPr bwMode="auto">
        <a:xfrm>
          <a:off x="27031952" y="1973209"/>
          <a:ext cx="4074855" cy="273461"/>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es-ES" sz="1000" b="1" i="0" u="none" strike="noStrike" baseline="0">
              <a:solidFill>
                <a:srgbClr val="000000"/>
              </a:solidFill>
              <a:latin typeface="Arial"/>
              <a:cs typeface="Arial"/>
            </a:rPr>
            <a:t>Factor de emisión tramo (g/vehículo-km) = k*[(s/12)^a]*[(W/3)^b]</a:t>
          </a:r>
        </a:p>
      </xdr:txBody>
    </xdr:sp>
    <xdr:clientData/>
  </xdr:twoCellAnchor>
  <xdr:twoCellAnchor>
    <xdr:from>
      <xdr:col>29</xdr:col>
      <xdr:colOff>168992</xdr:colOff>
      <xdr:row>24</xdr:row>
      <xdr:rowOff>33853</xdr:rowOff>
    </xdr:from>
    <xdr:to>
      <xdr:col>32</xdr:col>
      <xdr:colOff>737420</xdr:colOff>
      <xdr:row>26</xdr:row>
      <xdr:rowOff>76813</xdr:rowOff>
    </xdr:to>
    <xdr:sp macro="" textlink="">
      <xdr:nvSpPr>
        <xdr:cNvPr id="3" name="Rectangle 6">
          <a:extLst>
            <a:ext uri="{FF2B5EF4-FFF2-40B4-BE49-F238E27FC236}">
              <a16:creationId xmlns:a16="http://schemas.microsoft.com/office/drawing/2014/main" id="{69B9DFA5-A40F-4B56-9C73-A3A6CBE016DC}"/>
            </a:ext>
          </a:extLst>
        </xdr:cNvPr>
        <xdr:cNvSpPr>
          <a:spLocks noChangeArrowheads="1"/>
        </xdr:cNvSpPr>
      </xdr:nvSpPr>
      <xdr:spPr bwMode="auto">
        <a:xfrm>
          <a:off x="29389234" y="4581272"/>
          <a:ext cx="2872863" cy="380944"/>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(CC) por tramo sin corregir (kg/año) = FE tramo* VKM tramo</a:t>
          </a:r>
        </a:p>
      </xdr:txBody>
    </xdr:sp>
    <xdr:clientData/>
  </xdr:twoCellAnchor>
  <xdr:twoCellAnchor>
    <xdr:from>
      <xdr:col>29</xdr:col>
      <xdr:colOff>168992</xdr:colOff>
      <xdr:row>27</xdr:row>
      <xdr:rowOff>47770</xdr:rowOff>
    </xdr:from>
    <xdr:to>
      <xdr:col>32</xdr:col>
      <xdr:colOff>737420</xdr:colOff>
      <xdr:row>29</xdr:row>
      <xdr:rowOff>92176</xdr:rowOff>
    </xdr:to>
    <xdr:sp macro="" textlink="">
      <xdr:nvSpPr>
        <xdr:cNvPr id="4" name="Rectangle 6">
          <a:extLst>
            <a:ext uri="{FF2B5EF4-FFF2-40B4-BE49-F238E27FC236}">
              <a16:creationId xmlns:a16="http://schemas.microsoft.com/office/drawing/2014/main" id="{8211DE5E-D1AB-49C3-8677-E85100C26A57}"/>
            </a:ext>
          </a:extLst>
        </xdr:cNvPr>
        <xdr:cNvSpPr>
          <a:spLocks noChangeArrowheads="1"/>
        </xdr:cNvSpPr>
      </xdr:nvSpPr>
      <xdr:spPr bwMode="auto">
        <a:xfrm>
          <a:off x="29389234" y="5102165"/>
          <a:ext cx="2872863" cy="38239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corrección precipitación (kg/año) = CC sin corregir*(1-(días lluvia/365))</a:t>
          </a:r>
        </a:p>
      </xdr:txBody>
    </xdr:sp>
    <xdr:clientData/>
  </xdr:twoCellAnchor>
  <xdr:twoCellAnchor>
    <xdr:from>
      <xdr:col>29</xdr:col>
      <xdr:colOff>180813</xdr:colOff>
      <xdr:row>29</xdr:row>
      <xdr:rowOff>224494</xdr:rowOff>
    </xdr:from>
    <xdr:to>
      <xdr:col>32</xdr:col>
      <xdr:colOff>752783</xdr:colOff>
      <xdr:row>31</xdr:row>
      <xdr:rowOff>107540</xdr:rowOff>
    </xdr:to>
    <xdr:sp macro="" textlink="">
      <xdr:nvSpPr>
        <xdr:cNvPr id="5" name="Rectangle 6">
          <a:extLst>
            <a:ext uri="{FF2B5EF4-FFF2-40B4-BE49-F238E27FC236}">
              <a16:creationId xmlns:a16="http://schemas.microsoft.com/office/drawing/2014/main" id="{9858BB21-5079-49B7-95D8-AFD0F5750B8A}"/>
            </a:ext>
          </a:extLst>
        </xdr:cNvPr>
        <xdr:cNvSpPr>
          <a:spLocks noChangeArrowheads="1"/>
        </xdr:cNvSpPr>
      </xdr:nvSpPr>
      <xdr:spPr bwMode="auto">
        <a:xfrm>
          <a:off x="29401055" y="5616873"/>
          <a:ext cx="2876405" cy="374659"/>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medidas correctoras (kg/año) = CCprecip*(1-(Eficacia medidas/100))</a:t>
          </a:r>
        </a:p>
      </xdr:txBody>
    </xdr:sp>
    <xdr:clientData/>
  </xdr:twoCellAnchor>
  <xdr:twoCellAnchor>
    <xdr:from>
      <xdr:col>29</xdr:col>
      <xdr:colOff>203077</xdr:colOff>
      <xdr:row>31</xdr:row>
      <xdr:rowOff>209695</xdr:rowOff>
    </xdr:from>
    <xdr:to>
      <xdr:col>32</xdr:col>
      <xdr:colOff>752783</xdr:colOff>
      <xdr:row>33</xdr:row>
      <xdr:rowOff>30726</xdr:rowOff>
    </xdr:to>
    <xdr:sp macro="" textlink="">
      <xdr:nvSpPr>
        <xdr:cNvPr id="6" name="Rectangle 6">
          <a:extLst>
            <a:ext uri="{FF2B5EF4-FFF2-40B4-BE49-F238E27FC236}">
              <a16:creationId xmlns:a16="http://schemas.microsoft.com/office/drawing/2014/main" id="{ED2A930B-3822-418B-AA2E-86C58AC11A76}"/>
            </a:ext>
          </a:extLst>
        </xdr:cNvPr>
        <xdr:cNvSpPr>
          <a:spLocks noChangeArrowheads="1"/>
        </xdr:cNvSpPr>
      </xdr:nvSpPr>
      <xdr:spPr bwMode="auto">
        <a:xfrm>
          <a:off x="29423319" y="6093687"/>
          <a:ext cx="2854141" cy="328007"/>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sin medidas correctoras (kg/año) = CC*Fracción transportada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29767</xdr:colOff>
      <xdr:row>4</xdr:row>
      <xdr:rowOff>1051321</xdr:rowOff>
    </xdr:from>
    <xdr:to>
      <xdr:col>25</xdr:col>
      <xdr:colOff>1398985</xdr:colOff>
      <xdr:row>4</xdr:row>
      <xdr:rowOff>1294805</xdr:rowOff>
    </xdr:to>
    <xdr:sp macro="" textlink="">
      <xdr:nvSpPr>
        <xdr:cNvPr id="2" name="Rectangle 5">
          <a:extLst>
            <a:ext uri="{FF2B5EF4-FFF2-40B4-BE49-F238E27FC236}">
              <a16:creationId xmlns:a16="http://schemas.microsoft.com/office/drawing/2014/main" id="{7D4AC3CD-9ED3-4C8F-A2F2-911561D89124}"/>
            </a:ext>
          </a:extLst>
        </xdr:cNvPr>
        <xdr:cNvSpPr>
          <a:spLocks noChangeArrowheads="1"/>
        </xdr:cNvSpPr>
      </xdr:nvSpPr>
      <xdr:spPr bwMode="auto">
        <a:xfrm>
          <a:off x="20821056" y="5144094"/>
          <a:ext cx="4286249" cy="243484"/>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es-ES" sz="1000" b="1" i="0" u="none" strike="noStrike" baseline="0">
              <a:solidFill>
                <a:srgbClr val="000000"/>
              </a:solidFill>
              <a:latin typeface="Arial"/>
              <a:cs typeface="Arial"/>
            </a:rPr>
            <a:t>Factor de emisión tramo (g/vehículo-km) = k*(sL^0,91)*(W)^1,02]</a:t>
          </a:r>
        </a:p>
      </xdr:txBody>
    </xdr:sp>
    <xdr:clientData/>
  </xdr:twoCellAnchor>
  <xdr:twoCellAnchor>
    <xdr:from>
      <xdr:col>25</xdr:col>
      <xdr:colOff>108347</xdr:colOff>
      <xdr:row>12</xdr:row>
      <xdr:rowOff>123230</xdr:rowOff>
    </xdr:from>
    <xdr:to>
      <xdr:col>28</xdr:col>
      <xdr:colOff>193477</xdr:colOff>
      <xdr:row>14</xdr:row>
      <xdr:rowOff>152400</xdr:rowOff>
    </xdr:to>
    <xdr:sp macro="" textlink="">
      <xdr:nvSpPr>
        <xdr:cNvPr id="3" name="Rectangle 6">
          <a:extLst>
            <a:ext uri="{FF2B5EF4-FFF2-40B4-BE49-F238E27FC236}">
              <a16:creationId xmlns:a16="http://schemas.microsoft.com/office/drawing/2014/main" id="{795600BD-D1E0-48ED-AFFE-BD1AC1927349}"/>
            </a:ext>
          </a:extLst>
        </xdr:cNvPr>
        <xdr:cNvSpPr>
          <a:spLocks noChangeArrowheads="1"/>
        </xdr:cNvSpPr>
      </xdr:nvSpPr>
      <xdr:spPr bwMode="auto">
        <a:xfrm>
          <a:off x="23846433" y="3516511"/>
          <a:ext cx="3061692" cy="3714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por tramo sin corregir (kg/año) = FE tramo* VKM tramo</a:t>
          </a:r>
        </a:p>
      </xdr:txBody>
    </xdr:sp>
    <xdr:clientData/>
  </xdr:twoCellAnchor>
  <xdr:twoCellAnchor>
    <xdr:from>
      <xdr:col>25</xdr:col>
      <xdr:colOff>107156</xdr:colOff>
      <xdr:row>15</xdr:row>
      <xdr:rowOff>54174</xdr:rowOff>
    </xdr:from>
    <xdr:to>
      <xdr:col>28</xdr:col>
      <xdr:colOff>200025</xdr:colOff>
      <xdr:row>17</xdr:row>
      <xdr:rowOff>107752</xdr:rowOff>
    </xdr:to>
    <xdr:sp macro="" textlink="">
      <xdr:nvSpPr>
        <xdr:cNvPr id="4" name="Rectangle 6">
          <a:extLst>
            <a:ext uri="{FF2B5EF4-FFF2-40B4-BE49-F238E27FC236}">
              <a16:creationId xmlns:a16="http://schemas.microsoft.com/office/drawing/2014/main" id="{80C86ABD-E3A6-4925-906D-EF1AE566CD12}"/>
            </a:ext>
          </a:extLst>
        </xdr:cNvPr>
        <xdr:cNvSpPr>
          <a:spLocks noChangeArrowheads="1"/>
        </xdr:cNvSpPr>
      </xdr:nvSpPr>
      <xdr:spPr bwMode="auto">
        <a:xfrm>
          <a:off x="23845242" y="3953471"/>
          <a:ext cx="3069431" cy="38100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corrección precipitación (kg/año) = CC sin corregir*(1-(días lluvia/1460))</a:t>
          </a:r>
        </a:p>
      </xdr:txBody>
    </xdr:sp>
    <xdr:clientData/>
  </xdr:twoCellAnchor>
  <xdr:twoCellAnchor>
    <xdr:from>
      <xdr:col>25</xdr:col>
      <xdr:colOff>107070</xdr:colOff>
      <xdr:row>18</xdr:row>
      <xdr:rowOff>24410</xdr:rowOff>
    </xdr:from>
    <xdr:to>
      <xdr:col>28</xdr:col>
      <xdr:colOff>193477</xdr:colOff>
      <xdr:row>20</xdr:row>
      <xdr:rowOff>72630</xdr:rowOff>
    </xdr:to>
    <xdr:sp macro="" textlink="">
      <xdr:nvSpPr>
        <xdr:cNvPr id="5" name="Rectangle 6">
          <a:extLst>
            <a:ext uri="{FF2B5EF4-FFF2-40B4-BE49-F238E27FC236}">
              <a16:creationId xmlns:a16="http://schemas.microsoft.com/office/drawing/2014/main" id="{4542EBD5-48A4-45E5-BD85-CFDCC1BD5012}"/>
            </a:ext>
          </a:extLst>
        </xdr:cNvPr>
        <xdr:cNvSpPr>
          <a:spLocks noChangeArrowheads="1"/>
        </xdr:cNvSpPr>
      </xdr:nvSpPr>
      <xdr:spPr bwMode="auto">
        <a:xfrm>
          <a:off x="23845156" y="4414840"/>
          <a:ext cx="3062969" cy="390524"/>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s-ES" sz="1000" b="1" i="0" u="none" strike="noStrike" baseline="0">
              <a:solidFill>
                <a:srgbClr val="000000"/>
              </a:solidFill>
              <a:latin typeface="Arial"/>
              <a:cs typeface="Arial"/>
            </a:rPr>
            <a:t>Carga Contaminante medidas correctoras (kg/año) = CCprecip*(1-(Eficacia medidas/100))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3D5F21-A444-4FB1-BA6E-BCE49C25DBA1}" name="Tabla5112" displayName="Tabla5112" ref="AB10:AD13" totalsRowShown="0" headerRowBorderDxfId="18" tableBorderDxfId="19">
  <tableColumns count="3">
    <tableColumn id="1" xr3:uid="{38F7DE47-7EAA-4CE4-9726-409FB9A1B059}" name="Parámetro" dataDxfId="17"/>
    <tableColumn id="2" xr3:uid="{08401E7E-FFA3-4FBC-BB79-39CD1F6D36F2}" name="PM10" dataDxfId="16"/>
    <tableColumn id="3" xr3:uid="{A8627C1A-650B-4A01-88CF-AFDCFD992DAB}" name="PST"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B4C0BA-74EE-4592-B2E4-30B832704D61}" name="Tabla1133" displayName="Tabla1133" ref="AB24:AC30" totalsRowShown="0" headerRowDxfId="14" headerRowBorderDxfId="12" tableBorderDxfId="13">
  <tableColumns count="2">
    <tableColumn id="1" xr3:uid="{39988427-B482-459A-93AA-26BECBAC7D31}" name="Medida correctora" dataDxfId="11"/>
    <tableColumn id="2" xr3:uid="{B9154C59-3987-4EAE-B6EC-017FF46462AA}" name="Eficacia %"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5870F64-DA30-4294-9DDC-0FE236EC7BEC}" name="Tabla2144" displayName="Tabla2144" ref="AB32:AC38" totalsRowShown="0" headerRowBorderDxfId="8" tableBorderDxfId="9" totalsRowBorderDxfId="7">
  <tableColumns count="2">
    <tableColumn id="1" xr3:uid="{1AC9DA01-0A32-4873-A8A8-0441F391F270}" name="Tipo de entorno" dataDxfId="6"/>
    <tableColumn id="2" xr3:uid="{228058E7-0198-469A-87D4-091208DE1489}" name="Fracción transportada %" dataDxfId="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7297E13-9C3C-4F63-AE83-09CEF23FD44E}" name="Tabla1817" displayName="Tabla1817" ref="X14:Y19" totalsRowShown="0" headerRowDxfId="4" headerRowBorderDxfId="2" tableBorderDxfId="3">
  <tableColumns count="2">
    <tableColumn id="1" xr3:uid="{C68D4E28-44B2-4B1B-B9ED-3F50E215DB70}" name="Medida correctora" dataDxfId="1"/>
    <tableColumn id="2" xr3:uid="{B6FB76EC-3E5A-4233-AFC7-7ED21E0F8A21}" name="Eficacia %"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E123B-C0CC-448B-9C65-957A97331421}">
  <dimension ref="A3:A75"/>
  <sheetViews>
    <sheetView tabSelected="1" zoomScale="98" zoomScaleNormal="98" workbookViewId="0">
      <selection activeCell="A19" sqref="A19"/>
    </sheetView>
  </sheetViews>
  <sheetFormatPr defaultColWidth="11.42578125" defaultRowHeight="12.75"/>
  <cols>
    <col min="1" max="1" width="153.7109375" style="42" customWidth="1"/>
    <col min="2" max="16384" width="11.42578125" style="42"/>
  </cols>
  <sheetData>
    <row r="3" spans="1:1" ht="21">
      <c r="A3" s="75" t="s">
        <v>0</v>
      </c>
    </row>
    <row r="4" spans="1:1" ht="21">
      <c r="A4" s="75"/>
    </row>
    <row r="5" spans="1:1" ht="21">
      <c r="A5" s="75"/>
    </row>
    <row r="6" spans="1:1">
      <c r="A6" s="76"/>
    </row>
    <row r="7" spans="1:1" ht="42">
      <c r="A7" s="81" t="s">
        <v>1</v>
      </c>
    </row>
    <row r="8" spans="1:1" ht="21">
      <c r="A8" s="81"/>
    </row>
    <row r="9" spans="1:1" ht="21">
      <c r="A9" s="81"/>
    </row>
    <row r="10" spans="1:1" ht="31.5">
      <c r="A10" s="77" t="s">
        <v>2</v>
      </c>
    </row>
    <row r="11" spans="1:1" ht="15.75">
      <c r="A11" s="77"/>
    </row>
    <row r="12" spans="1:1" ht="15.75">
      <c r="A12" s="77" t="s">
        <v>3</v>
      </c>
    </row>
    <row r="13" spans="1:1" ht="15.75">
      <c r="A13" s="83" t="s">
        <v>4</v>
      </c>
    </row>
    <row r="14" spans="1:1" ht="31.5">
      <c r="A14" s="83" t="s">
        <v>5</v>
      </c>
    </row>
    <row r="15" spans="1:1" ht="31.5">
      <c r="A15" s="83" t="s">
        <v>6</v>
      </c>
    </row>
    <row r="16" spans="1:1" ht="31.5">
      <c r="A16" s="83" t="s">
        <v>7</v>
      </c>
    </row>
    <row r="17" spans="1:1" ht="15.75">
      <c r="A17" s="78"/>
    </row>
    <row r="18" spans="1:1" ht="34.5">
      <c r="A18" s="78" t="s">
        <v>8</v>
      </c>
    </row>
    <row r="19" spans="1:1" ht="15.75">
      <c r="A19" s="78" t="s">
        <v>9</v>
      </c>
    </row>
    <row r="20" spans="1:1" ht="15.75">
      <c r="A20" s="82" t="s">
        <v>10</v>
      </c>
    </row>
    <row r="21" spans="1:1" ht="15.75">
      <c r="A21" s="78" t="s">
        <v>11</v>
      </c>
    </row>
    <row r="22" spans="1:1" ht="15.75">
      <c r="A22" s="82" t="s">
        <v>12</v>
      </c>
    </row>
    <row r="23" spans="1:1" ht="15.75">
      <c r="A23" s="78" t="s">
        <v>13</v>
      </c>
    </row>
    <row r="24" spans="1:1" ht="15.75">
      <c r="A24" s="82" t="s">
        <v>14</v>
      </c>
    </row>
    <row r="25" spans="1:1" ht="15.75">
      <c r="A25" s="82"/>
    </row>
    <row r="26" spans="1:1" ht="47.25">
      <c r="A26" s="78" t="s">
        <v>15</v>
      </c>
    </row>
    <row r="27" spans="1:1" ht="15.75">
      <c r="A27" s="78"/>
    </row>
    <row r="28" spans="1:1" ht="15.75">
      <c r="A28" s="78" t="s">
        <v>16</v>
      </c>
    </row>
    <row r="29" spans="1:1" ht="15.75">
      <c r="A29" s="78" t="s">
        <v>17</v>
      </c>
    </row>
    <row r="30" spans="1:1" ht="15.75">
      <c r="A30" s="78" t="s">
        <v>18</v>
      </c>
    </row>
    <row r="31" spans="1:1" ht="15.75">
      <c r="A31" s="78" t="s">
        <v>19</v>
      </c>
    </row>
    <row r="32" spans="1:1" ht="15.75">
      <c r="A32" s="78"/>
    </row>
    <row r="33" spans="1:1" ht="31.5">
      <c r="A33" s="78" t="s">
        <v>20</v>
      </c>
    </row>
    <row r="34" spans="1:1" ht="15.75">
      <c r="A34" s="78"/>
    </row>
    <row r="35" spans="1:1" ht="15.75">
      <c r="A35" s="78"/>
    </row>
    <row r="36" spans="1:1" ht="15.75">
      <c r="A36" s="78"/>
    </row>
    <row r="37" spans="1:1" ht="15.75">
      <c r="A37" s="78"/>
    </row>
    <row r="38" spans="1:1" ht="15.75">
      <c r="A38" s="78"/>
    </row>
    <row r="39" spans="1:1" ht="15.75">
      <c r="A39" s="78"/>
    </row>
    <row r="40" spans="1:1" ht="15.75">
      <c r="A40" s="78"/>
    </row>
    <row r="41" spans="1:1" ht="15.75">
      <c r="A41" s="78"/>
    </row>
    <row r="42" spans="1:1" ht="15.75">
      <c r="A42" s="78"/>
    </row>
    <row r="43" spans="1:1" ht="15.75">
      <c r="A43" s="78"/>
    </row>
    <row r="44" spans="1:1" ht="15.75">
      <c r="A44" s="78"/>
    </row>
    <row r="45" spans="1:1" ht="15.75">
      <c r="A45" s="78"/>
    </row>
    <row r="46" spans="1:1" ht="15.75">
      <c r="A46" s="78"/>
    </row>
    <row r="47" spans="1:1" ht="15.75">
      <c r="A47" s="78"/>
    </row>
    <row r="48" spans="1:1" ht="15.75">
      <c r="A48" s="78"/>
    </row>
    <row r="49" spans="1:1" ht="15.75">
      <c r="A49" s="78"/>
    </row>
    <row r="50" spans="1:1" ht="15.75">
      <c r="A50" s="78"/>
    </row>
    <row r="51" spans="1:1" ht="15.75">
      <c r="A51" s="78"/>
    </row>
    <row r="52" spans="1:1" ht="15.75">
      <c r="A52" s="78"/>
    </row>
    <row r="53" spans="1:1" ht="15.75">
      <c r="A53" s="78"/>
    </row>
    <row r="54" spans="1:1" ht="15.75">
      <c r="A54" s="78"/>
    </row>
    <row r="55" spans="1:1" ht="15.75">
      <c r="A55" s="78"/>
    </row>
    <row r="56" spans="1:1" ht="15.75">
      <c r="A56" s="78"/>
    </row>
    <row r="57" spans="1:1" ht="15.75">
      <c r="A57" s="78"/>
    </row>
    <row r="58" spans="1:1" ht="15.75">
      <c r="A58" s="78"/>
    </row>
    <row r="59" spans="1:1" ht="15.75">
      <c r="A59" s="78"/>
    </row>
    <row r="60" spans="1:1" ht="15.75">
      <c r="A60" s="78"/>
    </row>
    <row r="61" spans="1:1" ht="15.75">
      <c r="A61" s="79"/>
    </row>
    <row r="62" spans="1:1" ht="15.75">
      <c r="A62" s="79"/>
    </row>
    <row r="63" spans="1:1">
      <c r="A63" s="80"/>
    </row>
    <row r="64" spans="1:1">
      <c r="A64" s="80"/>
    </row>
    <row r="65" spans="1:1">
      <c r="A65" s="80"/>
    </row>
    <row r="66" spans="1:1">
      <c r="A66" s="80"/>
    </row>
    <row r="67" spans="1:1">
      <c r="A67" s="80"/>
    </row>
    <row r="68" spans="1:1">
      <c r="A68" s="80"/>
    </row>
    <row r="69" spans="1:1">
      <c r="A69" s="80"/>
    </row>
    <row r="70" spans="1:1">
      <c r="A70" s="80"/>
    </row>
    <row r="71" spans="1:1">
      <c r="A71" s="80"/>
    </row>
    <row r="72" spans="1:1">
      <c r="A72" s="80"/>
    </row>
    <row r="73" spans="1:1">
      <c r="A73" s="80"/>
    </row>
    <row r="74" spans="1:1">
      <c r="A74" s="76"/>
    </row>
    <row r="75" spans="1:1">
      <c r="A75" s="76"/>
    </row>
  </sheetData>
  <sheetProtection algorithmName="SHA-512" hashValue="VGIvD4sdUbgarY5hk3t7fStGVPKdm45Bx42VfQDSfJ3IlVzDk6iz3cHHD0Onn0hjP19AUFNM2KToqXSvlMpGEA==" saltValue="BBezFsCrYvkLL9VWXqOS9w==" spinCount="100000" sheet="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3507-50BC-48AA-BB8F-F6397854FC6B}">
  <dimension ref="B2:I46"/>
  <sheetViews>
    <sheetView workbookViewId="0">
      <selection activeCell="C27" sqref="C27"/>
    </sheetView>
  </sheetViews>
  <sheetFormatPr defaultColWidth="11.42578125" defaultRowHeight="12.75"/>
  <cols>
    <col min="1" max="1" width="4.140625" style="42" customWidth="1"/>
    <col min="2" max="2" width="29.5703125" style="42" customWidth="1"/>
    <col min="3" max="3" width="41.28515625" style="42" customWidth="1"/>
    <col min="4" max="5" width="11.42578125" style="42"/>
    <col min="6" max="6" width="64.140625" style="42" hidden="1" customWidth="1"/>
    <col min="7" max="16384" width="11.42578125" style="42"/>
  </cols>
  <sheetData>
    <row r="2" spans="2:9" s="51" customFormat="1" ht="18.75" customHeight="1">
      <c r="B2" s="65" t="s">
        <v>21</v>
      </c>
      <c r="C2" s="52"/>
      <c r="F2" s="53"/>
      <c r="G2" s="53"/>
      <c r="H2" s="53"/>
      <c r="I2" s="53"/>
    </row>
    <row r="3" spans="2:9" ht="13.5" thickBot="1"/>
    <row r="4" spans="2:9">
      <c r="B4" s="48" t="s">
        <v>22</v>
      </c>
      <c r="C4" s="49"/>
    </row>
    <row r="5" spans="2:9">
      <c r="B5" s="271" t="s">
        <v>23</v>
      </c>
      <c r="C5" s="272"/>
    </row>
    <row r="6" spans="2:9">
      <c r="B6" s="271" t="s">
        <v>24</v>
      </c>
      <c r="C6" s="272"/>
    </row>
    <row r="7" spans="2:9">
      <c r="B7" s="271" t="s">
        <v>25</v>
      </c>
      <c r="C7" s="272"/>
    </row>
    <row r="8" spans="2:9">
      <c r="B8" s="273" t="s">
        <v>26</v>
      </c>
      <c r="C8" s="274"/>
    </row>
    <row r="9" spans="2:9" ht="13.5" thickBot="1">
      <c r="B9" s="50" t="s">
        <v>27</v>
      </c>
      <c r="C9" s="275"/>
    </row>
    <row r="12" spans="2:9" s="53" customFormat="1" ht="15.75">
      <c r="B12" s="65" t="s">
        <v>28</v>
      </c>
    </row>
    <row r="13" spans="2:9" s="53" customFormat="1" ht="13.5" thickBot="1"/>
    <row r="14" spans="2:9" s="53" customFormat="1">
      <c r="B14" s="48" t="s">
        <v>29</v>
      </c>
      <c r="C14" s="49"/>
    </row>
    <row r="15" spans="2:9" s="53" customFormat="1">
      <c r="B15" s="271" t="s">
        <v>30</v>
      </c>
      <c r="C15" s="272"/>
    </row>
    <row r="16" spans="2:9" s="53" customFormat="1" ht="13.5" thickBot="1">
      <c r="B16" s="276" t="s">
        <v>31</v>
      </c>
      <c r="C16" s="277"/>
    </row>
    <row r="19" spans="2:6" ht="15.75">
      <c r="B19" s="65" t="s">
        <v>32</v>
      </c>
    </row>
    <row r="20" spans="2:6" ht="13.5" thickBot="1"/>
    <row r="21" spans="2:6" ht="13.5" thickBot="1">
      <c r="B21" s="54" t="s">
        <v>33</v>
      </c>
      <c r="C21" s="55" t="s">
        <v>34</v>
      </c>
    </row>
    <row r="22" spans="2:6">
      <c r="B22" s="164"/>
      <c r="C22" s="165"/>
    </row>
    <row r="23" spans="2:6">
      <c r="B23" s="166"/>
      <c r="C23" s="167"/>
    </row>
    <row r="24" spans="2:6">
      <c r="B24" s="166"/>
      <c r="C24" s="170"/>
    </row>
    <row r="25" spans="2:6">
      <c r="B25" s="166"/>
      <c r="C25" s="167"/>
    </row>
    <row r="26" spans="2:6" ht="13.5" thickBot="1">
      <c r="B26" s="168"/>
      <c r="C26" s="169"/>
    </row>
    <row r="27" spans="2:6">
      <c r="B27" s="47"/>
      <c r="C27" s="41"/>
      <c r="D27" s="41"/>
    </row>
    <row r="28" spans="2:6">
      <c r="F28" s="278" t="s">
        <v>35</v>
      </c>
    </row>
    <row r="29" spans="2:6" ht="15.75">
      <c r="B29" s="65" t="s">
        <v>36</v>
      </c>
      <c r="F29" s="279" t="s">
        <v>37</v>
      </c>
    </row>
    <row r="30" spans="2:6" ht="13.5" thickBot="1">
      <c r="F30" s="279" t="s">
        <v>38</v>
      </c>
    </row>
    <row r="31" spans="2:6" ht="26.25" thickBot="1">
      <c r="B31" s="163" t="s">
        <v>39</v>
      </c>
      <c r="C31" s="162"/>
    </row>
    <row r="32" spans="2:6" ht="13.5" thickBot="1"/>
    <row r="33" spans="2:3">
      <c r="B33" s="217"/>
      <c r="C33" s="218"/>
    </row>
    <row r="34" spans="2:3">
      <c r="B34" s="219"/>
      <c r="C34" s="220"/>
    </row>
    <row r="35" spans="2:3">
      <c r="B35" s="219"/>
      <c r="C35" s="220"/>
    </row>
    <row r="36" spans="2:3">
      <c r="B36" s="219"/>
      <c r="C36" s="220"/>
    </row>
    <row r="37" spans="2:3">
      <c r="B37" s="219"/>
      <c r="C37" s="220"/>
    </row>
    <row r="38" spans="2:3">
      <c r="B38" s="219"/>
      <c r="C38" s="220"/>
    </row>
    <row r="39" spans="2:3">
      <c r="B39" s="219"/>
      <c r="C39" s="220"/>
    </row>
    <row r="40" spans="2:3">
      <c r="B40" s="219"/>
      <c r="C40" s="220"/>
    </row>
    <row r="41" spans="2:3">
      <c r="B41" s="219"/>
      <c r="C41" s="220"/>
    </row>
    <row r="42" spans="2:3">
      <c r="B42" s="219"/>
      <c r="C42" s="220"/>
    </row>
    <row r="43" spans="2:3">
      <c r="B43" s="219"/>
      <c r="C43" s="220"/>
    </row>
    <row r="44" spans="2:3">
      <c r="B44" s="219"/>
      <c r="C44" s="220"/>
    </row>
    <row r="45" spans="2:3">
      <c r="B45" s="219"/>
      <c r="C45" s="220"/>
    </row>
    <row r="46" spans="2:3" ht="13.5" thickBot="1">
      <c r="B46" s="221"/>
      <c r="C46" s="222"/>
    </row>
  </sheetData>
  <sheetProtection algorithmName="SHA-512" hashValue="/Z1qw5PiqIIPGrDAtYnoBhSSSLMMEqyA1/UyApfN04HeRaHIll0tm5ZjYZ3W5XLeTjn7VEe9xIEpRmJfovSElg==" saltValue="IUaomQFF71TK+2hHuJ6cpw==" spinCount="100000" sheet="1"/>
  <mergeCells count="1">
    <mergeCell ref="B33:C46"/>
  </mergeCells>
  <dataValidations count="3">
    <dataValidation operator="greaterThan" allowBlank="1" showErrorMessage="1" errorTitle="Nombre incorrecto" error="Por favor, introduzca el nombre completo de la razón social notificante de las emisiones a la atmósfera" sqref="C4:C5" xr:uid="{5D6F71D1-0215-4268-B8C0-678F8583B950}">
      <formula1>0</formula1>
      <formula2>0</formula2>
    </dataValidation>
    <dataValidation type="list" allowBlank="1" showInputMessage="1" showErrorMessage="1" sqref="C9" xr:uid="{5BBE6B54-BEED-41D0-8494-5EC1AE5300DC}">
      <formula1>"Alicante,Castellón de la Plana,Valencia"</formula1>
    </dataValidation>
    <dataValidation type="list" allowBlank="1" showInputMessage="1" showErrorMessage="1" sqref="C31" xr:uid="{E0F4DE30-BF17-4233-8EF8-750EF97648F5}">
      <formula1>$F$29:$F$30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F5CDF-1BAD-4A4E-9EB7-BAA3D9740B12}">
  <dimension ref="B2:AC17"/>
  <sheetViews>
    <sheetView workbookViewId="0">
      <selection activeCell="C6" sqref="C6"/>
    </sheetView>
  </sheetViews>
  <sheetFormatPr defaultColWidth="11.42578125" defaultRowHeight="12.75"/>
  <cols>
    <col min="1" max="1" width="4.140625" style="42" customWidth="1"/>
    <col min="2" max="2" width="40.140625" style="42" bestFit="1" customWidth="1"/>
    <col min="3" max="4" width="21" style="42" bestFit="1" customWidth="1"/>
    <col min="5" max="7" width="11.42578125" style="42"/>
    <col min="8" max="8" width="20" style="42" hidden="1" customWidth="1"/>
    <col min="9" max="9" width="18.7109375" style="42" hidden="1" customWidth="1"/>
    <col min="10" max="16384" width="11.42578125" style="42"/>
  </cols>
  <sheetData>
    <row r="2" spans="2:29" s="51" customFormat="1" ht="15.75">
      <c r="B2" s="65" t="s">
        <v>40</v>
      </c>
      <c r="G2" s="56"/>
      <c r="P2" s="56"/>
      <c r="Q2" s="56"/>
      <c r="R2" s="56"/>
      <c r="S2" s="56"/>
      <c r="T2" s="56"/>
      <c r="U2" s="56"/>
      <c r="V2" s="56"/>
      <c r="W2" s="56"/>
      <c r="X2" s="56"/>
      <c r="Z2" s="56"/>
      <c r="AA2" s="56"/>
      <c r="AB2" s="56"/>
      <c r="AC2" s="56"/>
    </row>
    <row r="4" spans="2:29" ht="13.5" thickBot="1">
      <c r="B4" s="44"/>
      <c r="C4" s="41"/>
      <c r="D4" s="41"/>
    </row>
    <row r="5" spans="2:29" ht="13.5" thickBot="1">
      <c r="B5" s="44"/>
      <c r="C5" s="142" t="s">
        <v>41</v>
      </c>
      <c r="H5" s="58" t="s">
        <v>42</v>
      </c>
      <c r="I5" s="58" t="s">
        <v>43</v>
      </c>
    </row>
    <row r="6" spans="2:29" ht="13.5" thickBot="1">
      <c r="B6" s="141" t="s">
        <v>44</v>
      </c>
      <c r="C6" s="280"/>
      <c r="H6" s="57">
        <v>4.0000000000000003E-5</v>
      </c>
      <c r="I6" s="57" t="s">
        <v>45</v>
      </c>
    </row>
    <row r="7" spans="2:29">
      <c r="B7" s="44"/>
      <c r="C7" s="41"/>
      <c r="D7" s="44"/>
    </row>
    <row r="8" spans="2:29" ht="13.5" thickBot="1"/>
    <row r="9" spans="2:29" ht="15" thickBot="1">
      <c r="B9" s="44"/>
      <c r="C9" s="142" t="s">
        <v>46</v>
      </c>
      <c r="H9" s="58" t="s">
        <v>47</v>
      </c>
      <c r="I9" s="58" t="s">
        <v>48</v>
      </c>
    </row>
    <row r="10" spans="2:29" ht="13.5" thickBot="1">
      <c r="B10" s="141" t="s">
        <v>49</v>
      </c>
      <c r="C10" s="280"/>
      <c r="H10" s="57">
        <v>1.1400000000000001E-4</v>
      </c>
      <c r="I10" s="57">
        <v>2.2000000000000001E-4</v>
      </c>
    </row>
    <row r="15" spans="2:29" ht="13.5" thickBot="1">
      <c r="B15" s="44"/>
      <c r="C15" s="41"/>
      <c r="D15" s="41"/>
    </row>
    <row r="16" spans="2:29" ht="18.75">
      <c r="B16" s="62" t="s">
        <v>50</v>
      </c>
      <c r="C16" s="63" t="s">
        <v>51</v>
      </c>
      <c r="D16" s="64" t="s">
        <v>52</v>
      </c>
    </row>
    <row r="17" spans="2:4" ht="15.75" thickBot="1">
      <c r="B17" s="59" t="s">
        <v>53</v>
      </c>
      <c r="C17" s="60">
        <f>(C6*H6)+(H10*(C10^1.5))</f>
        <v>0</v>
      </c>
      <c r="D17" s="61">
        <f>I10*(C10^1.5)</f>
        <v>0</v>
      </c>
    </row>
  </sheetData>
  <sheetProtection algorithmName="SHA-512" hashValue="7aFEbF1SYDlKuv91FI7mxbEYOPEETyvYQ58zcJq+uGwWhOjyVBr8oU2C+un59PG0jqBA36dP+SD+ejWrTiTqqg==" saltValue="3SMG+qPuoJyQVE2P/5m4sw==" spinCount="100000" sheet="1" objects="1" scenarios="1"/>
  <dataValidations disablePrompts="1" count="1">
    <dataValidation allowBlank="1" showInputMessage="1" showErrorMessage="1" promptTitle="UNIDADES:" prompt="El Caudal siempre se expreserá en Nm3/h seco" sqref="N2 JJ2 TF2 ADB2 AMX2 AWT2 BGP2 BQL2 CAH2 CKD2 CTZ2 DDV2 DNR2 DXN2 EHJ2 ERF2 FBB2 FKX2 FUT2 GEP2 GOL2 GYH2 HID2 HRZ2 IBV2 ILR2 IVN2 JFJ2 JPF2 JZB2 KIX2 KST2 LCP2 LML2 LWH2 MGD2 MPZ2 MZV2 NJR2 NTN2 ODJ2 ONF2 OXB2 PGX2 PQT2 QAP2 QKL2 QUH2 RED2 RNZ2 RXV2 SHR2 SRN2 TBJ2 TLF2 TVB2 UEX2 UOT2 UYP2 VIL2 VSH2 WCD2 WLZ2 WVV2" xr:uid="{8235A98D-6EB5-40A2-80CE-C12A0D3A762C}">
      <formula1>0</formula1>
      <formula2>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CFE3-CBEA-4E4A-9C27-D15E872DF96C}">
  <dimension ref="B2:AA40"/>
  <sheetViews>
    <sheetView zoomScale="77" zoomScaleNormal="77" workbookViewId="0">
      <selection activeCell="G28" sqref="G28"/>
    </sheetView>
  </sheetViews>
  <sheetFormatPr defaultColWidth="11.42578125" defaultRowHeight="12.75"/>
  <cols>
    <col min="1" max="1" width="4.140625" style="42" customWidth="1"/>
    <col min="2" max="2" width="31.28515625" style="42" customWidth="1"/>
    <col min="3" max="4" width="22" style="42" customWidth="1"/>
    <col min="5" max="5" width="13.28515625" style="42" customWidth="1"/>
    <col min="6" max="7" width="11.42578125" style="42"/>
    <col min="8" max="11" width="0" style="42" hidden="1" customWidth="1"/>
    <col min="12" max="16384" width="11.42578125" style="42"/>
  </cols>
  <sheetData>
    <row r="2" spans="2:27" s="51" customFormat="1" ht="15.75">
      <c r="B2" s="65" t="s">
        <v>54</v>
      </c>
      <c r="N2" s="56"/>
      <c r="O2" s="56"/>
      <c r="P2" s="56"/>
      <c r="Q2" s="56"/>
      <c r="R2" s="56"/>
      <c r="S2" s="56"/>
      <c r="T2" s="56"/>
      <c r="U2" s="56"/>
      <c r="V2" s="56"/>
      <c r="X2" s="56"/>
      <c r="Y2" s="56"/>
      <c r="Z2" s="56"/>
      <c r="AA2" s="56"/>
    </row>
    <row r="4" spans="2:27" ht="13.5" thickBot="1"/>
    <row r="5" spans="2:27" ht="13.5" customHeight="1">
      <c r="B5" s="223" t="s">
        <v>55</v>
      </c>
      <c r="C5" s="224"/>
      <c r="D5" s="225"/>
    </row>
    <row r="6" spans="2:27">
      <c r="B6" s="226"/>
      <c r="C6" s="227"/>
      <c r="D6" s="228"/>
    </row>
    <row r="7" spans="2:27" ht="13.5" thickBot="1">
      <c r="B7" s="229"/>
      <c r="C7" s="230"/>
      <c r="D7" s="231"/>
    </row>
    <row r="8" spans="2:27" ht="57" customHeight="1">
      <c r="B8" s="233" t="s">
        <v>56</v>
      </c>
      <c r="C8" s="234"/>
      <c r="D8" s="72" t="s">
        <v>57</v>
      </c>
      <c r="H8" s="69" t="s">
        <v>42</v>
      </c>
      <c r="I8" s="69" t="s">
        <v>43</v>
      </c>
      <c r="J8" s="71" t="s">
        <v>58</v>
      </c>
      <c r="K8" s="67" t="s">
        <v>59</v>
      </c>
    </row>
    <row r="9" spans="2:27">
      <c r="B9" s="235" t="s">
        <v>60</v>
      </c>
      <c r="C9" s="281"/>
      <c r="D9" s="171"/>
      <c r="H9" s="70">
        <v>4.3E-3</v>
      </c>
      <c r="I9" s="70">
        <v>1.2500000000000001E-2</v>
      </c>
      <c r="J9" s="68">
        <f t="shared" ref="J9:J17" si="0">D9*H9</f>
        <v>0</v>
      </c>
      <c r="K9" s="68">
        <f t="shared" ref="K9:K15" si="1">D9*I9</f>
        <v>0</v>
      </c>
    </row>
    <row r="10" spans="2:27">
      <c r="B10" s="235" t="s">
        <v>61</v>
      </c>
      <c r="C10" s="281"/>
      <c r="D10" s="171"/>
      <c r="H10" s="70">
        <v>1.1999999999999999E-3</v>
      </c>
      <c r="I10" s="70">
        <v>2.7000000000000001E-3</v>
      </c>
      <c r="J10" s="68">
        <f t="shared" si="0"/>
        <v>0</v>
      </c>
      <c r="K10" s="68">
        <f t="shared" si="1"/>
        <v>0</v>
      </c>
    </row>
    <row r="11" spans="2:27" ht="12.75" customHeight="1">
      <c r="B11" s="235" t="s">
        <v>62</v>
      </c>
      <c r="C11" s="281"/>
      <c r="D11" s="171"/>
      <c r="H11" s="70">
        <v>1.1999999999999999E-3</v>
      </c>
      <c r="I11" s="70">
        <v>2.7000000000000001E-3</v>
      </c>
      <c r="J11" s="68">
        <f t="shared" si="0"/>
        <v>0</v>
      </c>
      <c r="K11" s="68">
        <f t="shared" si="1"/>
        <v>0</v>
      </c>
    </row>
    <row r="12" spans="2:27">
      <c r="B12" s="235" t="s">
        <v>63</v>
      </c>
      <c r="C12" s="281"/>
      <c r="D12" s="171"/>
      <c r="H12" s="70">
        <v>1.1999999999999999E-3</v>
      </c>
      <c r="I12" s="70">
        <v>2.7000000000000001E-3</v>
      </c>
      <c r="J12" s="68">
        <f t="shared" si="0"/>
        <v>0</v>
      </c>
      <c r="K12" s="68">
        <f t="shared" si="1"/>
        <v>0</v>
      </c>
    </row>
    <row r="13" spans="2:27">
      <c r="B13" s="235" t="s">
        <v>64</v>
      </c>
      <c r="C13" s="281"/>
      <c r="D13" s="171"/>
      <c r="H13" s="70">
        <v>7.4999999999999997E-3</v>
      </c>
      <c r="I13" s="70">
        <v>1.95E-2</v>
      </c>
      <c r="J13" s="68">
        <f t="shared" si="0"/>
        <v>0</v>
      </c>
      <c r="K13" s="68">
        <f t="shared" si="1"/>
        <v>0</v>
      </c>
    </row>
    <row r="14" spans="2:27">
      <c r="B14" s="235" t="s">
        <v>65</v>
      </c>
      <c r="C14" s="281"/>
      <c r="D14" s="171"/>
      <c r="H14" s="70">
        <v>3.5999999999999997E-2</v>
      </c>
      <c r="I14" s="70">
        <v>0.15</v>
      </c>
      <c r="J14" s="68">
        <f t="shared" si="0"/>
        <v>0</v>
      </c>
      <c r="K14" s="68">
        <f t="shared" si="1"/>
        <v>0</v>
      </c>
    </row>
    <row r="15" spans="2:27" ht="12.75" customHeight="1">
      <c r="B15" s="235" t="s">
        <v>66</v>
      </c>
      <c r="C15" s="281"/>
      <c r="D15" s="171"/>
      <c r="H15" s="70">
        <v>5.5000000000000003E-4</v>
      </c>
      <c r="I15" s="70">
        <v>1.5E-3</v>
      </c>
      <c r="J15" s="68">
        <f t="shared" si="0"/>
        <v>0</v>
      </c>
      <c r="K15" s="68">
        <f t="shared" si="1"/>
        <v>0</v>
      </c>
    </row>
    <row r="16" spans="2:27" ht="12.75" customHeight="1">
      <c r="B16" s="235" t="s">
        <v>67</v>
      </c>
      <c r="C16" s="281"/>
      <c r="D16" s="171"/>
      <c r="H16" s="70">
        <v>7.9999999999999996E-6</v>
      </c>
      <c r="I16" s="70" t="s">
        <v>45</v>
      </c>
      <c r="J16" s="68">
        <f t="shared" si="0"/>
        <v>0</v>
      </c>
      <c r="K16" s="70" t="s">
        <v>45</v>
      </c>
    </row>
    <row r="17" spans="2:11" ht="13.5" thickBot="1">
      <c r="B17" s="236" t="s">
        <v>68</v>
      </c>
      <c r="C17" s="282"/>
      <c r="D17" s="172"/>
      <c r="H17" s="70">
        <v>5.0000000000000002E-5</v>
      </c>
      <c r="I17" s="70" t="s">
        <v>45</v>
      </c>
      <c r="J17" s="68">
        <f t="shared" si="0"/>
        <v>0</v>
      </c>
      <c r="K17" s="70" t="s">
        <v>45</v>
      </c>
    </row>
    <row r="18" spans="2:11" ht="12.75" customHeight="1">
      <c r="B18" s="232" t="s">
        <v>69</v>
      </c>
      <c r="C18" s="232"/>
      <c r="D18" s="232"/>
      <c r="J18" s="68">
        <f>SUM(J9:J17)</f>
        <v>0</v>
      </c>
      <c r="K18" s="68">
        <f>SUM(K9:K17)</f>
        <v>0</v>
      </c>
    </row>
    <row r="19" spans="2:11" ht="12.75" customHeight="1">
      <c r="B19" s="232"/>
      <c r="C19" s="232"/>
      <c r="D19" s="232"/>
      <c r="E19" s="66"/>
    </row>
    <row r="20" spans="2:11">
      <c r="B20" s="232"/>
      <c r="C20" s="232"/>
      <c r="D20" s="232"/>
      <c r="E20" s="66"/>
    </row>
    <row r="21" spans="2:11">
      <c r="B21" s="232"/>
      <c r="C21" s="232"/>
      <c r="D21" s="232"/>
      <c r="E21" s="66"/>
    </row>
    <row r="22" spans="2:11">
      <c r="B22" s="43"/>
      <c r="C22" s="43"/>
      <c r="D22" s="43"/>
      <c r="E22" s="43"/>
    </row>
    <row r="23" spans="2:11">
      <c r="B23" s="43"/>
      <c r="C23" s="43"/>
      <c r="D23" s="43"/>
      <c r="E23" s="43"/>
    </row>
    <row r="24" spans="2:11" ht="13.5" thickBot="1">
      <c r="B24" s="44"/>
    </row>
    <row r="25" spans="2:11" ht="13.5" customHeight="1">
      <c r="B25" s="223" t="s">
        <v>70</v>
      </c>
      <c r="C25" s="224"/>
      <c r="D25" s="225"/>
    </row>
    <row r="26" spans="2:11">
      <c r="B26" s="226"/>
      <c r="C26" s="227"/>
      <c r="D26" s="228"/>
    </row>
    <row r="27" spans="2:11" ht="13.5" thickBot="1">
      <c r="B27" s="229"/>
      <c r="C27" s="230"/>
      <c r="D27" s="231"/>
    </row>
    <row r="28" spans="2:11" ht="59.25" customHeight="1">
      <c r="B28" s="233" t="s">
        <v>56</v>
      </c>
      <c r="C28" s="234"/>
      <c r="D28" s="72" t="s">
        <v>57</v>
      </c>
      <c r="H28" s="69" t="s">
        <v>42</v>
      </c>
      <c r="I28" s="69" t="s">
        <v>43</v>
      </c>
      <c r="J28" s="67" t="s">
        <v>71</v>
      </c>
      <c r="K28" s="67" t="s">
        <v>59</v>
      </c>
    </row>
    <row r="29" spans="2:11">
      <c r="B29" s="235" t="s">
        <v>60</v>
      </c>
      <c r="C29" s="281"/>
      <c r="D29" s="171"/>
      <c r="H29" s="70">
        <v>3.6999999999999999E-4</v>
      </c>
      <c r="I29" s="70">
        <v>1.1000000000000001E-3</v>
      </c>
      <c r="J29" s="68">
        <f t="shared" ref="J29:J35" si="2">D29*H29</f>
        <v>0</v>
      </c>
      <c r="K29" s="68">
        <f t="shared" ref="K29:K35" si="3">D29*I29</f>
        <v>0</v>
      </c>
    </row>
    <row r="30" spans="2:11">
      <c r="B30" s="235" t="s">
        <v>61</v>
      </c>
      <c r="C30" s="281"/>
      <c r="D30" s="171"/>
      <c r="H30" s="70">
        <v>2.7E-4</v>
      </c>
      <c r="I30" s="70">
        <v>5.9999999999999995E-4</v>
      </c>
      <c r="J30" s="68">
        <f t="shared" si="2"/>
        <v>0</v>
      </c>
      <c r="K30" s="68">
        <f t="shared" si="3"/>
        <v>0</v>
      </c>
    </row>
    <row r="31" spans="2:11">
      <c r="B31" s="235" t="s">
        <v>62</v>
      </c>
      <c r="C31" s="281"/>
      <c r="D31" s="171"/>
      <c r="H31" s="70">
        <v>2.7E-4</v>
      </c>
      <c r="I31" s="70">
        <v>5.9999999999999995E-4</v>
      </c>
      <c r="J31" s="68">
        <f t="shared" si="2"/>
        <v>0</v>
      </c>
      <c r="K31" s="68">
        <f t="shared" si="3"/>
        <v>0</v>
      </c>
    </row>
    <row r="32" spans="2:11">
      <c r="B32" s="235" t="s">
        <v>63</v>
      </c>
      <c r="C32" s="281"/>
      <c r="D32" s="171"/>
      <c r="H32" s="70">
        <v>2.7E-4</v>
      </c>
      <c r="I32" s="70">
        <v>5.9999999999999995E-4</v>
      </c>
      <c r="J32" s="68">
        <f t="shared" si="2"/>
        <v>0</v>
      </c>
      <c r="K32" s="68">
        <f t="shared" si="3"/>
        <v>0</v>
      </c>
    </row>
    <row r="33" spans="2:11">
      <c r="B33" s="235" t="s">
        <v>64</v>
      </c>
      <c r="C33" s="281"/>
      <c r="D33" s="171"/>
      <c r="H33" s="70">
        <v>5.9999999999999995E-4</v>
      </c>
      <c r="I33" s="70">
        <v>1.5E-3</v>
      </c>
      <c r="J33" s="68">
        <f t="shared" si="2"/>
        <v>0</v>
      </c>
      <c r="K33" s="68">
        <f t="shared" si="3"/>
        <v>0</v>
      </c>
    </row>
    <row r="34" spans="2:11">
      <c r="B34" s="235" t="s">
        <v>65</v>
      </c>
      <c r="C34" s="281"/>
      <c r="D34" s="171"/>
      <c r="H34" s="70">
        <v>1.1000000000000001E-3</v>
      </c>
      <c r="I34" s="70">
        <v>1.8E-3</v>
      </c>
      <c r="J34" s="68">
        <f t="shared" si="2"/>
        <v>0</v>
      </c>
      <c r="K34" s="68">
        <f t="shared" si="3"/>
        <v>0</v>
      </c>
    </row>
    <row r="35" spans="2:11" ht="13.5" thickBot="1">
      <c r="B35" s="236" t="s">
        <v>66</v>
      </c>
      <c r="C35" s="282"/>
      <c r="D35" s="172"/>
      <c r="H35" s="70">
        <v>2.3E-5</v>
      </c>
      <c r="I35" s="70">
        <v>6.9999999999999994E-5</v>
      </c>
      <c r="J35" s="68">
        <f t="shared" si="2"/>
        <v>0</v>
      </c>
      <c r="K35" s="68">
        <f t="shared" si="3"/>
        <v>0</v>
      </c>
    </row>
    <row r="36" spans="2:11">
      <c r="B36" s="45"/>
      <c r="C36" s="46"/>
      <c r="J36" s="68">
        <f>SUM(J28:J35)</f>
        <v>0</v>
      </c>
      <c r="K36" s="68">
        <f>SUM(K28:K35)</f>
        <v>0</v>
      </c>
    </row>
    <row r="37" spans="2:11">
      <c r="B37" s="45"/>
      <c r="C37" s="46"/>
    </row>
    <row r="38" spans="2:11" ht="13.5" thickBot="1"/>
    <row r="39" spans="2:11" ht="18.75">
      <c r="B39" s="62" t="s">
        <v>50</v>
      </c>
      <c r="C39" s="63" t="s">
        <v>51</v>
      </c>
      <c r="D39" s="64" t="s">
        <v>52</v>
      </c>
    </row>
    <row r="40" spans="2:11" ht="15.75" thickBot="1">
      <c r="B40" s="59" t="s">
        <v>53</v>
      </c>
      <c r="C40" s="60">
        <f>J18+J36</f>
        <v>0</v>
      </c>
      <c r="D40" s="61">
        <f>K18+K36</f>
        <v>0</v>
      </c>
    </row>
  </sheetData>
  <sheetProtection algorithmName="SHA-512" hashValue="xrUsvhR0df+yaNwhWO31Bfjk0wzLebfQEN8PWV+1YCbW7agKUVBgdNZjprCi1Fc1TiPUG/YU8q/7FBIpPx71Vg==" saltValue="tIIzd6V3XXVjdUPwXd3Tlw==" spinCount="100000" sheet="1"/>
  <mergeCells count="21">
    <mergeCell ref="B12:C12"/>
    <mergeCell ref="B8:C8"/>
    <mergeCell ref="B9:C9"/>
    <mergeCell ref="B10:C10"/>
    <mergeCell ref="B11:C11"/>
    <mergeCell ref="B25:D27"/>
    <mergeCell ref="B18:D21"/>
    <mergeCell ref="B5:D7"/>
    <mergeCell ref="B34:C34"/>
    <mergeCell ref="B35:C35"/>
    <mergeCell ref="B28:C28"/>
    <mergeCell ref="B29:C29"/>
    <mergeCell ref="B30:C30"/>
    <mergeCell ref="B31:C31"/>
    <mergeCell ref="B32:C32"/>
    <mergeCell ref="B33:C33"/>
    <mergeCell ref="B13:C13"/>
    <mergeCell ref="B14:C14"/>
    <mergeCell ref="B15:C15"/>
    <mergeCell ref="B16:C16"/>
    <mergeCell ref="B17:C17"/>
  </mergeCells>
  <dataValidations count="1">
    <dataValidation allowBlank="1" showInputMessage="1" showErrorMessage="1" promptTitle="UNIDADES:" prompt="El Caudal siempre se expreserá en Nm3/h seco"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xr:uid="{572F22A9-0524-40AE-A7B4-CF5AEDD416D9}">
      <formula1>0</formula1>
      <formula2>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B7E81-C9BA-4935-93B1-68F4886F8134}">
  <dimension ref="B2:X61"/>
  <sheetViews>
    <sheetView topLeftCell="A24" zoomScale="89" zoomScaleNormal="89" workbookViewId="0">
      <selection activeCell="U58" sqref="U58"/>
    </sheetView>
  </sheetViews>
  <sheetFormatPr defaultColWidth="11.42578125" defaultRowHeight="12.75"/>
  <cols>
    <col min="1" max="2" width="4.140625" style="42" customWidth="1"/>
    <col min="3" max="3" width="31.28515625" style="42" customWidth="1"/>
    <col min="4" max="5" width="16.7109375" style="42" customWidth="1"/>
    <col min="6" max="10" width="13.7109375" style="42" hidden="1" customWidth="1"/>
    <col min="11" max="11" width="30.5703125" style="42" customWidth="1"/>
    <col min="12" max="14" width="13.7109375" style="42" hidden="1" customWidth="1"/>
    <col min="15" max="17" width="11.42578125" style="42"/>
    <col min="18" max="19" width="23.28515625" style="42" hidden="1" customWidth="1"/>
    <col min="20" max="20" width="11.42578125" style="42"/>
    <col min="21" max="21" width="28.7109375" style="42" bestFit="1" customWidth="1"/>
    <col min="22" max="22" width="11.42578125" style="90"/>
    <col min="23" max="23" width="21.28515625" style="42" bestFit="1" customWidth="1"/>
    <col min="24" max="16384" width="11.42578125" style="42"/>
  </cols>
  <sheetData>
    <row r="2" spans="2:24" ht="15.75">
      <c r="B2" s="84" t="s">
        <v>72</v>
      </c>
      <c r="D2" s="41"/>
    </row>
    <row r="3" spans="2:24">
      <c r="B3" s="85"/>
      <c r="L3" s="86"/>
    </row>
    <row r="6" spans="2:24" ht="13.5" thickBot="1">
      <c r="U6" s="42" t="s">
        <v>73</v>
      </c>
    </row>
    <row r="7" spans="2:24" ht="80.25" thickBot="1">
      <c r="C7" s="105" t="s">
        <v>74</v>
      </c>
      <c r="D7" s="106" t="s">
        <v>75</v>
      </c>
      <c r="E7" s="106" t="s">
        <v>76</v>
      </c>
      <c r="F7" s="106" t="s">
        <v>77</v>
      </c>
      <c r="G7" s="106" t="s">
        <v>78</v>
      </c>
      <c r="H7" s="106" t="s">
        <v>79</v>
      </c>
      <c r="I7" s="106" t="s">
        <v>80</v>
      </c>
      <c r="J7" s="106" t="s">
        <v>81</v>
      </c>
      <c r="K7" s="72" t="s">
        <v>82</v>
      </c>
      <c r="L7" s="140" t="s">
        <v>83</v>
      </c>
      <c r="M7" s="106" t="s">
        <v>84</v>
      </c>
      <c r="N7" s="108" t="s">
        <v>85</v>
      </c>
      <c r="U7" s="283" t="s">
        <v>86</v>
      </c>
      <c r="V7" s="283" t="s">
        <v>76</v>
      </c>
      <c r="W7" s="283" t="s">
        <v>87</v>
      </c>
      <c r="X7" s="283" t="s">
        <v>88</v>
      </c>
    </row>
    <row r="8" spans="2:24" ht="13.5" thickBot="1">
      <c r="B8" s="102">
        <v>1</v>
      </c>
      <c r="C8" s="173"/>
      <c r="D8" s="174"/>
      <c r="E8" s="174"/>
      <c r="F8" s="175" t="str">
        <f>IF(C8="","",VLOOKUP(C8,$R$22:$S$26,2,0))</f>
        <v/>
      </c>
      <c r="G8" s="176" t="str">
        <f>IF(F8="","",$R$11*0.0016*(((E8/2.2)^1.3)/((F8/2)^1.4)))</f>
        <v/>
      </c>
      <c r="H8" s="176" t="str">
        <f>IF(F8="","",$S$11*0.0016*(((E8/2.2)^1.3)/((F8/2)^1.4)))</f>
        <v/>
      </c>
      <c r="I8" s="177" t="str">
        <f>IF(G8="","",(G8*D8))</f>
        <v/>
      </c>
      <c r="J8" s="177" t="str">
        <f>IF(H8="","",(H8*D8))</f>
        <v/>
      </c>
      <c r="K8" s="178"/>
      <c r="L8" s="93" t="str">
        <f>IF(K8="","",VLOOKUP(K8,$R$34:$S$38,2,0))</f>
        <v/>
      </c>
      <c r="M8" s="94" t="str">
        <f>IF(G8="","",(G8*D8)*(1-(L8/100)))</f>
        <v/>
      </c>
      <c r="N8" s="109" t="str">
        <f>IF(H8="","",(H8*D8)*(1-(L8/100)))</f>
        <v/>
      </c>
      <c r="U8" s="284" t="s">
        <v>89</v>
      </c>
      <c r="V8" s="285">
        <v>1.98</v>
      </c>
      <c r="W8" s="284" t="s">
        <v>90</v>
      </c>
      <c r="X8" s="284" t="s">
        <v>91</v>
      </c>
    </row>
    <row r="9" spans="2:24">
      <c r="B9" s="103">
        <v>2</v>
      </c>
      <c r="C9" s="179"/>
      <c r="D9" s="180"/>
      <c r="E9" s="189" t="str">
        <f>IF(E8="","",E8)</f>
        <v/>
      </c>
      <c r="F9" s="182" t="str">
        <f>IF(C9="","",VLOOKUP(C9,$R$22:$S$26,2,0))</f>
        <v/>
      </c>
      <c r="G9" s="176" t="str">
        <f>IF(F9="","",$R$11*0.0016*(((E9/2.2)^1.3)/((F9/2)^1.4)))</f>
        <v/>
      </c>
      <c r="H9" s="176" t="str">
        <f>IF(F9="","",$S$11*0.0016*(((E9/2.2)^1.3)/((F9/2)^1.4)))</f>
        <v/>
      </c>
      <c r="I9" s="177" t="str">
        <f t="shared" ref="I9:I12" si="0">IF(G9="","",(G9*D9))</f>
        <v/>
      </c>
      <c r="J9" s="177" t="str">
        <f t="shared" ref="J9:J12" si="1">IF(H9="","",(H9*D9))</f>
        <v/>
      </c>
      <c r="K9" s="171"/>
      <c r="L9" s="95" t="str">
        <f>IF(K9="","",VLOOKUP(K9,$R$34:$S$38,2,0))</f>
        <v/>
      </c>
      <c r="M9" s="94" t="str">
        <f t="shared" ref="M9:M12" si="2">IF(G9="","",(G9*D9)*(1-(L9/100)))</f>
        <v/>
      </c>
      <c r="N9" s="109" t="str">
        <f t="shared" ref="N9:N12" si="3">IF(H9="","",(H9*D9)*(1-(L9/100)))</f>
        <v/>
      </c>
      <c r="R9" s="239" t="s">
        <v>92</v>
      </c>
      <c r="S9" s="240"/>
      <c r="U9" s="284" t="s">
        <v>93</v>
      </c>
      <c r="V9" s="285">
        <v>2.34</v>
      </c>
      <c r="W9" s="284" t="s">
        <v>90</v>
      </c>
      <c r="X9" s="284" t="s">
        <v>91</v>
      </c>
    </row>
    <row r="10" spans="2:24">
      <c r="B10" s="103">
        <v>3</v>
      </c>
      <c r="C10" s="179"/>
      <c r="D10" s="180"/>
      <c r="E10" s="189" t="str">
        <f t="shared" ref="E10:E12" si="4">IF(E9="","",E9)</f>
        <v/>
      </c>
      <c r="F10" s="182" t="str">
        <f>IF(C10="","",VLOOKUP(C10,$R$22:$S$26,2,0))</f>
        <v/>
      </c>
      <c r="G10" s="176" t="str">
        <f>IF(F10="","",$R$11*0.0016*(((E10/2.2)^1.3)/((F10/2)^1.4)))</f>
        <v/>
      </c>
      <c r="H10" s="176" t="str">
        <f>IF(F10="","",$S$11*0.0016*(((E10/2.2)^1.3)/((F10/2)^1.4)))</f>
        <v/>
      </c>
      <c r="I10" s="177" t="str">
        <f t="shared" si="0"/>
        <v/>
      </c>
      <c r="J10" s="177" t="str">
        <f t="shared" si="1"/>
        <v/>
      </c>
      <c r="K10" s="171"/>
      <c r="L10" s="95" t="str">
        <f>IF(K10="","",VLOOKUP(K10,$R$34:$S$38,2,0))</f>
        <v/>
      </c>
      <c r="M10" s="94" t="str">
        <f t="shared" si="2"/>
        <v/>
      </c>
      <c r="N10" s="109" t="str">
        <f t="shared" si="3"/>
        <v/>
      </c>
      <c r="R10" s="91" t="s">
        <v>94</v>
      </c>
      <c r="S10" s="92" t="s">
        <v>95</v>
      </c>
      <c r="U10" s="284" t="s">
        <v>96</v>
      </c>
      <c r="V10" s="285">
        <v>2.56</v>
      </c>
      <c r="W10" s="284" t="s">
        <v>90</v>
      </c>
      <c r="X10" s="284" t="s">
        <v>91</v>
      </c>
    </row>
    <row r="11" spans="2:24" ht="13.5" thickBot="1">
      <c r="B11" s="103">
        <v>4</v>
      </c>
      <c r="C11" s="179"/>
      <c r="D11" s="180"/>
      <c r="E11" s="189" t="str">
        <f t="shared" si="4"/>
        <v/>
      </c>
      <c r="F11" s="182" t="str">
        <f>IF(C11="","",VLOOKUP(C11,$R$22:$S$26,2,0))</f>
        <v/>
      </c>
      <c r="G11" s="176" t="str">
        <f>IF(F11="","",$R$11*0.0016*(((E11/2.2)^1.3)/((F11/2)^1.4)))</f>
        <v/>
      </c>
      <c r="H11" s="176" t="str">
        <f>IF(F11="","",$S$11*0.0016*(((E11/2.2)^1.3)/((F11/2)^1.4)))</f>
        <v/>
      </c>
      <c r="I11" s="177" t="str">
        <f t="shared" si="0"/>
        <v/>
      </c>
      <c r="J11" s="177" t="str">
        <f t="shared" si="1"/>
        <v/>
      </c>
      <c r="K11" s="171"/>
      <c r="L11" s="95" t="str">
        <f>IF(K11="","",VLOOKUP(K11,$R$34:$S$38,2,0))</f>
        <v/>
      </c>
      <c r="M11" s="94" t="str">
        <f t="shared" si="2"/>
        <v/>
      </c>
      <c r="N11" s="109" t="str">
        <f t="shared" si="3"/>
        <v/>
      </c>
      <c r="R11" s="87">
        <v>0.35</v>
      </c>
      <c r="S11" s="88">
        <v>0.74</v>
      </c>
      <c r="U11" s="284" t="s">
        <v>97</v>
      </c>
      <c r="V11" s="285">
        <v>1.46</v>
      </c>
      <c r="W11" s="284" t="s">
        <v>90</v>
      </c>
      <c r="X11" s="284" t="s">
        <v>91</v>
      </c>
    </row>
    <row r="12" spans="2:24" ht="13.5" thickBot="1">
      <c r="B12" s="104">
        <v>5</v>
      </c>
      <c r="C12" s="183"/>
      <c r="D12" s="184"/>
      <c r="E12" s="190" t="str">
        <f t="shared" si="4"/>
        <v/>
      </c>
      <c r="F12" s="186" t="str">
        <f>IF(C12="","",VLOOKUP(C12,$R$22:$S$26,2,0))</f>
        <v/>
      </c>
      <c r="G12" s="187" t="str">
        <f>IF(F12="","",$R$11*0.0016*(((E12/2.2)^1.3)/((F12/2)^1.4)))</f>
        <v/>
      </c>
      <c r="H12" s="187" t="str">
        <f>IF(F12="","",$S$11*0.0016*(((E12/2.2)^1.3)/((F12/2)^1.4)))</f>
        <v/>
      </c>
      <c r="I12" s="188" t="str">
        <f t="shared" si="0"/>
        <v/>
      </c>
      <c r="J12" s="188" t="str">
        <f t="shared" si="1"/>
        <v/>
      </c>
      <c r="K12" s="172"/>
      <c r="L12" s="111" t="str">
        <f>IF(K12="","",VLOOKUP(K12,$R$34:$S$38,2,0))</f>
        <v/>
      </c>
      <c r="M12" s="110" t="str">
        <f t="shared" si="2"/>
        <v/>
      </c>
      <c r="N12" s="112" t="str">
        <f t="shared" si="3"/>
        <v/>
      </c>
      <c r="U12" s="284" t="s">
        <v>98</v>
      </c>
      <c r="V12" s="285">
        <v>1.17</v>
      </c>
      <c r="W12" s="284" t="s">
        <v>99</v>
      </c>
      <c r="X12" s="284" t="s">
        <v>100</v>
      </c>
    </row>
    <row r="13" spans="2:24">
      <c r="C13" s="237" t="s">
        <v>101</v>
      </c>
      <c r="D13" s="237"/>
      <c r="E13" s="237"/>
      <c r="F13" s="237"/>
      <c r="G13" s="237"/>
      <c r="H13" s="237"/>
      <c r="I13" s="237"/>
      <c r="J13" s="237"/>
      <c r="K13" s="237"/>
      <c r="R13" s="239" t="s">
        <v>102</v>
      </c>
      <c r="S13" s="240"/>
      <c r="U13" s="284" t="s">
        <v>103</v>
      </c>
      <c r="V13" s="285">
        <v>0.27</v>
      </c>
      <c r="W13" s="284" t="s">
        <v>99</v>
      </c>
      <c r="X13" s="284" t="s">
        <v>100</v>
      </c>
    </row>
    <row r="14" spans="2:24">
      <c r="C14" s="238"/>
      <c r="D14" s="238"/>
      <c r="E14" s="238"/>
      <c r="F14" s="238"/>
      <c r="G14" s="238"/>
      <c r="H14" s="238"/>
      <c r="I14" s="238"/>
      <c r="J14" s="238"/>
      <c r="K14" s="238"/>
      <c r="R14" s="241" t="s">
        <v>104</v>
      </c>
      <c r="S14" s="242"/>
      <c r="U14" s="284" t="s">
        <v>105</v>
      </c>
      <c r="V14" s="285">
        <v>0.41</v>
      </c>
      <c r="W14" s="284" t="s">
        <v>105</v>
      </c>
      <c r="X14" s="284" t="s">
        <v>106</v>
      </c>
    </row>
    <row r="15" spans="2:24" ht="13.5" thickBot="1">
      <c r="R15" s="15"/>
      <c r="S15" s="89" t="s">
        <v>107</v>
      </c>
      <c r="U15" s="284" t="s">
        <v>108</v>
      </c>
      <c r="V15" s="285">
        <v>1.32</v>
      </c>
      <c r="W15" s="284" t="s">
        <v>108</v>
      </c>
      <c r="X15" s="284" t="s">
        <v>91</v>
      </c>
    </row>
    <row r="16" spans="2:24" ht="13.5" thickBot="1">
      <c r="U16" s="284" t="s">
        <v>109</v>
      </c>
      <c r="V16" s="285">
        <v>0.86</v>
      </c>
      <c r="W16" s="284" t="s">
        <v>110</v>
      </c>
      <c r="X16" s="284" t="s">
        <v>106</v>
      </c>
    </row>
    <row r="17" spans="3:24" ht="13.5" thickBot="1">
      <c r="G17" s="90"/>
      <c r="H17" s="90"/>
      <c r="I17" s="90"/>
      <c r="J17" s="90"/>
      <c r="K17" s="86"/>
      <c r="R17" s="239" t="s">
        <v>111</v>
      </c>
      <c r="S17" s="240"/>
      <c r="U17" s="284" t="s">
        <v>112</v>
      </c>
      <c r="V17" s="285">
        <v>1.05</v>
      </c>
      <c r="W17" s="284" t="s">
        <v>113</v>
      </c>
      <c r="X17" s="284" t="s">
        <v>100</v>
      </c>
    </row>
    <row r="18" spans="3:24" ht="18.75">
      <c r="C18" s="62" t="s">
        <v>50</v>
      </c>
      <c r="D18" s="63" t="s">
        <v>51</v>
      </c>
      <c r="E18" s="64" t="s">
        <v>52</v>
      </c>
      <c r="K18" s="86"/>
      <c r="R18" s="241" t="s">
        <v>114</v>
      </c>
      <c r="S18" s="242"/>
      <c r="U18" s="284" t="s">
        <v>115</v>
      </c>
      <c r="V18" s="285">
        <v>0.85</v>
      </c>
      <c r="W18" s="284" t="s">
        <v>116</v>
      </c>
      <c r="X18" s="284" t="s">
        <v>106</v>
      </c>
    </row>
    <row r="19" spans="3:24" ht="15.75" thickBot="1">
      <c r="C19" s="59" t="s">
        <v>53</v>
      </c>
      <c r="D19" s="60">
        <f>SUM(M8:M12)</f>
        <v>0</v>
      </c>
      <c r="E19" s="61">
        <f>SUM(N8:N12)</f>
        <v>0</v>
      </c>
      <c r="R19" s="15"/>
      <c r="S19" s="89" t="s">
        <v>117</v>
      </c>
      <c r="U19" s="284" t="s">
        <v>118</v>
      </c>
      <c r="V19" s="285">
        <v>1.39</v>
      </c>
      <c r="W19" s="284" t="s">
        <v>119</v>
      </c>
      <c r="X19" s="284" t="s">
        <v>106</v>
      </c>
    </row>
    <row r="20" spans="3:24" ht="13.5" thickBot="1">
      <c r="U20" s="284" t="s">
        <v>120</v>
      </c>
      <c r="V20" s="285">
        <v>2.2799999999999998</v>
      </c>
      <c r="W20" s="284" t="s">
        <v>121</v>
      </c>
      <c r="X20" s="284" t="s">
        <v>100</v>
      </c>
    </row>
    <row r="21" spans="3:24" ht="13.5" thickBot="1">
      <c r="K21" s="86"/>
      <c r="R21" s="27" t="s">
        <v>122</v>
      </c>
      <c r="S21" s="28" t="s">
        <v>123</v>
      </c>
      <c r="U21" s="284" t="s">
        <v>124</v>
      </c>
      <c r="V21" s="285">
        <v>1.32</v>
      </c>
      <c r="W21" s="284" t="s">
        <v>121</v>
      </c>
      <c r="X21" s="284" t="s">
        <v>100</v>
      </c>
    </row>
    <row r="22" spans="3:24">
      <c r="R22" s="29" t="s">
        <v>125</v>
      </c>
      <c r="S22" s="30">
        <v>0.2</v>
      </c>
      <c r="U22" s="284" t="s">
        <v>126</v>
      </c>
      <c r="V22" s="285">
        <v>1.28</v>
      </c>
      <c r="W22" s="284" t="s">
        <v>121</v>
      </c>
      <c r="X22" s="284" t="s">
        <v>100</v>
      </c>
    </row>
    <row r="23" spans="3:24">
      <c r="R23" s="4" t="s">
        <v>127</v>
      </c>
      <c r="S23" s="22">
        <v>0.7</v>
      </c>
      <c r="U23" s="284" t="s">
        <v>128</v>
      </c>
      <c r="V23" s="285">
        <v>1.92</v>
      </c>
      <c r="W23" s="284" t="s">
        <v>121</v>
      </c>
      <c r="X23" s="284" t="s">
        <v>100</v>
      </c>
    </row>
    <row r="24" spans="3:24">
      <c r="R24" s="31" t="s">
        <v>129</v>
      </c>
      <c r="S24" s="32">
        <v>2.1</v>
      </c>
      <c r="U24" s="284" t="s">
        <v>130</v>
      </c>
      <c r="V24" s="285">
        <v>1.76</v>
      </c>
      <c r="W24" s="284" t="s">
        <v>121</v>
      </c>
      <c r="X24" s="284" t="s">
        <v>100</v>
      </c>
    </row>
    <row r="25" spans="3:24">
      <c r="C25" s="44"/>
      <c r="R25" s="33" t="s">
        <v>131</v>
      </c>
      <c r="S25" s="34">
        <v>7.4</v>
      </c>
      <c r="U25" s="284" t="s">
        <v>132</v>
      </c>
      <c r="V25" s="285">
        <v>1.99</v>
      </c>
      <c r="W25" s="284" t="s">
        <v>121</v>
      </c>
      <c r="X25" s="284" t="s">
        <v>100</v>
      </c>
    </row>
    <row r="26" spans="3:24" ht="13.5" thickBot="1">
      <c r="C26" s="86"/>
      <c r="R26" s="35" t="s">
        <v>133</v>
      </c>
      <c r="S26" s="36">
        <v>10</v>
      </c>
      <c r="U26" s="284" t="s">
        <v>134</v>
      </c>
      <c r="V26" s="285">
        <v>2.74</v>
      </c>
      <c r="W26" s="284" t="s">
        <v>121</v>
      </c>
      <c r="X26" s="284" t="s">
        <v>100</v>
      </c>
    </row>
    <row r="27" spans="3:24">
      <c r="C27" s="86"/>
      <c r="R27" s="245" t="s">
        <v>135</v>
      </c>
      <c r="S27" s="245"/>
      <c r="U27" s="284" t="s">
        <v>136</v>
      </c>
      <c r="V27" s="285">
        <v>1.88</v>
      </c>
      <c r="W27" s="284" t="s">
        <v>121</v>
      </c>
      <c r="X27" s="284" t="s">
        <v>100</v>
      </c>
    </row>
    <row r="28" spans="3:24" ht="13.5" thickBot="1">
      <c r="U28" s="284" t="s">
        <v>137</v>
      </c>
      <c r="V28" s="285">
        <v>2.1800000000000002</v>
      </c>
      <c r="W28" s="284" t="s">
        <v>121</v>
      </c>
      <c r="X28" s="284" t="s">
        <v>100</v>
      </c>
    </row>
    <row r="29" spans="3:24">
      <c r="R29" s="239" t="s">
        <v>138</v>
      </c>
      <c r="S29" s="240"/>
      <c r="U29" s="284" t="s">
        <v>139</v>
      </c>
      <c r="V29" s="285">
        <v>3.33</v>
      </c>
      <c r="W29" s="284" t="s">
        <v>121</v>
      </c>
      <c r="X29" s="284" t="s">
        <v>100</v>
      </c>
    </row>
    <row r="30" spans="3:24">
      <c r="R30" s="241" t="s">
        <v>140</v>
      </c>
      <c r="S30" s="242"/>
      <c r="U30" s="284" t="s">
        <v>139</v>
      </c>
      <c r="V30" s="285">
        <v>4.62</v>
      </c>
      <c r="W30" s="284" t="s">
        <v>121</v>
      </c>
      <c r="X30" s="284" t="s">
        <v>100</v>
      </c>
    </row>
    <row r="31" spans="3:24" ht="13.5" thickBot="1">
      <c r="R31" s="15"/>
      <c r="S31" s="89" t="s">
        <v>117</v>
      </c>
      <c r="U31" s="284" t="s">
        <v>139</v>
      </c>
      <c r="V31" s="285">
        <v>0.36</v>
      </c>
      <c r="W31" s="284" t="s">
        <v>121</v>
      </c>
      <c r="X31" s="284" t="s">
        <v>100</v>
      </c>
    </row>
    <row r="32" spans="3:24" ht="13.5" thickBot="1">
      <c r="C32" s="44"/>
      <c r="U32" s="284" t="s">
        <v>139</v>
      </c>
      <c r="V32" s="285">
        <v>2.2200000000000002</v>
      </c>
      <c r="W32" s="284" t="s">
        <v>121</v>
      </c>
      <c r="X32" s="284" t="s">
        <v>100</v>
      </c>
    </row>
    <row r="33" spans="3:24" ht="13.5" thickBot="1">
      <c r="R33" s="27" t="s">
        <v>82</v>
      </c>
      <c r="S33" s="28" t="s">
        <v>141</v>
      </c>
      <c r="U33" s="284" t="s">
        <v>142</v>
      </c>
      <c r="V33" s="285">
        <v>1.61</v>
      </c>
      <c r="W33" s="284" t="s">
        <v>121</v>
      </c>
      <c r="X33" s="284" t="s">
        <v>100</v>
      </c>
    </row>
    <row r="34" spans="3:24">
      <c r="R34" s="29" t="s">
        <v>143</v>
      </c>
      <c r="S34" s="30">
        <v>90</v>
      </c>
      <c r="U34" s="284" t="s">
        <v>144</v>
      </c>
      <c r="V34" s="285">
        <v>1.35</v>
      </c>
      <c r="W34" s="284" t="s">
        <v>144</v>
      </c>
      <c r="X34" s="284" t="s">
        <v>100</v>
      </c>
    </row>
    <row r="35" spans="3:24">
      <c r="R35" s="4" t="s">
        <v>145</v>
      </c>
      <c r="S35" s="22">
        <v>62</v>
      </c>
      <c r="U35" s="284" t="s">
        <v>146</v>
      </c>
      <c r="V35" s="285">
        <v>0.37</v>
      </c>
      <c r="W35" s="284" t="s">
        <v>147</v>
      </c>
      <c r="X35" s="284" t="s">
        <v>100</v>
      </c>
    </row>
    <row r="36" spans="3:24">
      <c r="R36" s="31" t="s">
        <v>148</v>
      </c>
      <c r="S36" s="32">
        <v>75</v>
      </c>
      <c r="U36" s="284" t="s">
        <v>149</v>
      </c>
      <c r="V36" s="285">
        <v>2.66</v>
      </c>
      <c r="W36" s="284" t="s">
        <v>150</v>
      </c>
      <c r="X36" s="284" t="s">
        <v>91</v>
      </c>
    </row>
    <row r="37" spans="3:24">
      <c r="R37" s="33" t="s">
        <v>151</v>
      </c>
      <c r="S37" s="34">
        <v>90</v>
      </c>
      <c r="U37" s="284" t="s">
        <v>152</v>
      </c>
      <c r="V37" s="285">
        <v>1.28</v>
      </c>
      <c r="W37" s="284" t="s">
        <v>153</v>
      </c>
      <c r="X37" s="284" t="s">
        <v>91</v>
      </c>
    </row>
    <row r="38" spans="3:24" ht="13.5" thickBot="1">
      <c r="R38" s="35" t="s">
        <v>154</v>
      </c>
      <c r="S38" s="36">
        <v>0</v>
      </c>
      <c r="U38" s="284" t="s">
        <v>155</v>
      </c>
      <c r="V38" s="285">
        <v>0.81</v>
      </c>
      <c r="W38" s="284" t="s">
        <v>156</v>
      </c>
      <c r="X38" s="284" t="s">
        <v>100</v>
      </c>
    </row>
    <row r="39" spans="3:24">
      <c r="R39" s="243" t="s">
        <v>157</v>
      </c>
      <c r="S39" s="244"/>
      <c r="U39" s="284" t="s">
        <v>158</v>
      </c>
      <c r="V39" s="285">
        <v>1.02</v>
      </c>
      <c r="W39" s="284" t="s">
        <v>159</v>
      </c>
      <c r="X39" s="284" t="s">
        <v>100</v>
      </c>
    </row>
    <row r="40" spans="3:24">
      <c r="C40" s="86"/>
      <c r="R40" s="244"/>
      <c r="S40" s="244"/>
      <c r="U40" s="284" t="s">
        <v>160</v>
      </c>
      <c r="V40" s="285">
        <v>2.44</v>
      </c>
      <c r="W40" s="284" t="s">
        <v>161</v>
      </c>
      <c r="X40" s="284" t="s">
        <v>100</v>
      </c>
    </row>
    <row r="41" spans="3:24">
      <c r="C41" s="86"/>
      <c r="U41" s="284" t="s">
        <v>162</v>
      </c>
      <c r="V41" s="285">
        <v>0.43</v>
      </c>
      <c r="W41" s="284" t="s">
        <v>162</v>
      </c>
      <c r="X41" s="284" t="s">
        <v>100</v>
      </c>
    </row>
    <row r="42" spans="3:24">
      <c r="U42" s="284" t="s">
        <v>163</v>
      </c>
      <c r="V42" s="285">
        <v>1.49</v>
      </c>
      <c r="W42" s="284" t="s">
        <v>163</v>
      </c>
      <c r="X42" s="284" t="s">
        <v>100</v>
      </c>
    </row>
    <row r="43" spans="3:24">
      <c r="U43" s="284" t="s">
        <v>164</v>
      </c>
      <c r="V43" s="285">
        <v>1.62</v>
      </c>
      <c r="W43" s="284" t="s">
        <v>164</v>
      </c>
      <c r="X43" s="284" t="s">
        <v>106</v>
      </c>
    </row>
    <row r="44" spans="3:24">
      <c r="F44" s="44"/>
      <c r="U44" s="284" t="s">
        <v>165</v>
      </c>
      <c r="V44" s="285">
        <v>1.92</v>
      </c>
      <c r="W44" s="284" t="s">
        <v>165</v>
      </c>
      <c r="X44" s="284" t="s">
        <v>91</v>
      </c>
    </row>
    <row r="45" spans="3:24">
      <c r="U45" s="284" t="s">
        <v>166</v>
      </c>
      <c r="V45" s="285">
        <v>1.35</v>
      </c>
      <c r="W45" s="284" t="s">
        <v>167</v>
      </c>
      <c r="X45" s="284" t="s">
        <v>106</v>
      </c>
    </row>
    <row r="46" spans="3:24">
      <c r="C46" s="44"/>
      <c r="U46" s="284" t="s">
        <v>166</v>
      </c>
      <c r="V46" s="285">
        <v>0.48</v>
      </c>
      <c r="W46" s="284" t="s">
        <v>167</v>
      </c>
      <c r="X46" s="284" t="s">
        <v>106</v>
      </c>
    </row>
    <row r="47" spans="3:24">
      <c r="U47" s="284" t="s">
        <v>168</v>
      </c>
      <c r="V47" s="285">
        <v>0.78</v>
      </c>
      <c r="W47" s="284" t="s">
        <v>167</v>
      </c>
      <c r="X47" s="284" t="s">
        <v>106</v>
      </c>
    </row>
    <row r="48" spans="3:24">
      <c r="U48" s="284" t="s">
        <v>169</v>
      </c>
      <c r="V48" s="285">
        <v>1.91</v>
      </c>
      <c r="W48" s="284" t="s">
        <v>170</v>
      </c>
      <c r="X48" s="284" t="s">
        <v>100</v>
      </c>
    </row>
    <row r="49" spans="21:24">
      <c r="U49" s="284" t="s">
        <v>171</v>
      </c>
      <c r="V49" s="285">
        <v>3.95</v>
      </c>
      <c r="W49" s="284" t="s">
        <v>172</v>
      </c>
      <c r="X49" s="284" t="s">
        <v>106</v>
      </c>
    </row>
    <row r="50" spans="21:24">
      <c r="U50" s="284" t="s">
        <v>173</v>
      </c>
      <c r="V50" s="285">
        <v>0.87</v>
      </c>
      <c r="W50" s="284" t="s">
        <v>173</v>
      </c>
      <c r="X50" s="284" t="s">
        <v>106</v>
      </c>
    </row>
    <row r="51" spans="21:24">
      <c r="U51" s="284" t="s">
        <v>174</v>
      </c>
      <c r="V51" s="285">
        <v>1.06</v>
      </c>
      <c r="W51" s="284" t="s">
        <v>175</v>
      </c>
      <c r="X51" s="284" t="s">
        <v>106</v>
      </c>
    </row>
    <row r="52" spans="21:24">
      <c r="U52" s="284" t="s">
        <v>176</v>
      </c>
      <c r="V52" s="285">
        <v>1.99</v>
      </c>
      <c r="W52" s="284" t="s">
        <v>177</v>
      </c>
      <c r="X52" s="284" t="s">
        <v>106</v>
      </c>
    </row>
    <row r="53" spans="21:24">
      <c r="U53" s="284" t="s">
        <v>178</v>
      </c>
      <c r="V53" s="285">
        <v>2.06</v>
      </c>
      <c r="W53" s="284" t="s">
        <v>177</v>
      </c>
      <c r="X53" s="284" t="s">
        <v>106</v>
      </c>
    </row>
    <row r="54" spans="21:24">
      <c r="U54" s="284" t="s">
        <v>179</v>
      </c>
      <c r="V54" s="285">
        <v>2.0699999999999998</v>
      </c>
      <c r="W54" s="284" t="s">
        <v>177</v>
      </c>
      <c r="X54" s="284" t="s">
        <v>106</v>
      </c>
    </row>
    <row r="55" spans="21:24">
      <c r="U55" s="284" t="s">
        <v>180</v>
      </c>
      <c r="V55" s="285">
        <v>0.24</v>
      </c>
      <c r="W55" s="284" t="s">
        <v>177</v>
      </c>
      <c r="X55" s="284" t="s">
        <v>106</v>
      </c>
    </row>
    <row r="56" spans="21:24">
      <c r="U56" s="284" t="s">
        <v>181</v>
      </c>
      <c r="V56" s="285">
        <v>2.34</v>
      </c>
      <c r="W56" s="284" t="s">
        <v>177</v>
      </c>
      <c r="X56" s="284" t="s">
        <v>106</v>
      </c>
    </row>
    <row r="57" spans="21:24">
      <c r="U57" s="284" t="s">
        <v>182</v>
      </c>
      <c r="V57" s="285">
        <v>2.79</v>
      </c>
      <c r="W57" s="284" t="s">
        <v>183</v>
      </c>
      <c r="X57" s="284" t="s">
        <v>100</v>
      </c>
    </row>
    <row r="58" spans="21:24">
      <c r="U58" s="284" t="s">
        <v>184</v>
      </c>
      <c r="V58" s="285">
        <v>0.82</v>
      </c>
      <c r="W58" s="284" t="s">
        <v>184</v>
      </c>
      <c r="X58" s="284" t="s">
        <v>106</v>
      </c>
    </row>
    <row r="59" spans="21:24">
      <c r="U59" s="284" t="s">
        <v>185</v>
      </c>
      <c r="V59" s="285">
        <v>2.21</v>
      </c>
      <c r="W59" s="284" t="s">
        <v>185</v>
      </c>
      <c r="X59" s="284" t="s">
        <v>106</v>
      </c>
    </row>
    <row r="60" spans="21:24">
      <c r="U60" s="284" t="s">
        <v>186</v>
      </c>
      <c r="V60" s="285">
        <v>2.92</v>
      </c>
      <c r="W60" s="284" t="s">
        <v>187</v>
      </c>
      <c r="X60" s="284" t="s">
        <v>100</v>
      </c>
    </row>
    <row r="61" spans="21:24">
      <c r="U61" s="284" t="s">
        <v>188</v>
      </c>
      <c r="V61" s="285">
        <v>1.53</v>
      </c>
      <c r="W61" s="284" t="s">
        <v>189</v>
      </c>
      <c r="X61" s="284" t="s">
        <v>100</v>
      </c>
    </row>
  </sheetData>
  <sheetProtection algorithmName="SHA-512" hashValue="TtiE2MW0QzI/wfpmt23DKs9CN9S7Z10f339wOXn13QN/MkrsjWVekYcevQaHOuXfzXbBuIYoDp9sNxkpeQ6iGQ==" saltValue="IxEjRdXgM5CL3Q4i8BeaKw==" spinCount="100000" sheet="1"/>
  <mergeCells count="10">
    <mergeCell ref="C13:K14"/>
    <mergeCell ref="R29:S29"/>
    <mergeCell ref="R30:S30"/>
    <mergeCell ref="R39:S40"/>
    <mergeCell ref="R9:S9"/>
    <mergeCell ref="R13:S13"/>
    <mergeCell ref="R14:S14"/>
    <mergeCell ref="R17:S17"/>
    <mergeCell ref="R18:S18"/>
    <mergeCell ref="R27:S27"/>
  </mergeCells>
  <dataValidations count="2">
    <dataValidation type="list" allowBlank="1" showInputMessage="1" showErrorMessage="1" sqref="C8:C12" xr:uid="{0AB8839C-03D2-4BF4-8C92-979F285A1400}">
      <formula1>$R$22:$R$26</formula1>
    </dataValidation>
    <dataValidation type="list" allowBlank="1" showInputMessage="1" showErrorMessage="1" sqref="K8:K12" xr:uid="{E20D855D-1E08-45AD-9179-726D668C27B7}">
      <formula1>$R$34:$R$38</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FD3C-0211-4AA4-9A3E-97C999A29F2E}">
  <dimension ref="B2:AL61"/>
  <sheetViews>
    <sheetView topLeftCell="A4" zoomScale="86" zoomScaleNormal="86" workbookViewId="0">
      <selection activeCell="AJ12" sqref="AJ12"/>
    </sheetView>
  </sheetViews>
  <sheetFormatPr defaultColWidth="11.42578125" defaultRowHeight="12.75"/>
  <cols>
    <col min="1" max="1" width="4.28515625" style="42" customWidth="1"/>
    <col min="2" max="2" width="7.5703125" style="42" customWidth="1"/>
    <col min="3" max="3" width="31.28515625" style="42" customWidth="1"/>
    <col min="4" max="5" width="22.5703125" style="42" customWidth="1"/>
    <col min="6" max="6" width="20.7109375" style="42" customWidth="1"/>
    <col min="7" max="17" width="11.42578125" style="42" hidden="1" customWidth="1"/>
    <col min="18" max="18" width="42.5703125" style="42" customWidth="1"/>
    <col min="19" max="21" width="11.42578125" style="42" hidden="1" customWidth="1"/>
    <col min="22" max="22" width="42.5703125" style="42" customWidth="1"/>
    <col min="23" max="25" width="11.42578125" style="42" hidden="1" customWidth="1"/>
    <col min="26" max="26" width="11.42578125" style="42"/>
    <col min="27" max="27" width="11.28515625" style="42" customWidth="1"/>
    <col min="28" max="29" width="25.28515625" style="42" hidden="1" customWidth="1"/>
    <col min="30" max="33" width="13.140625" style="42" hidden="1" customWidth="1"/>
    <col min="34" max="34" width="11.42578125" style="42"/>
    <col min="35" max="35" width="28.7109375" style="42" bestFit="1" customWidth="1"/>
    <col min="36" max="36" width="17.42578125" style="90" customWidth="1"/>
    <col min="37" max="37" width="19.7109375" style="42" bestFit="1" customWidth="1"/>
    <col min="38" max="16384" width="11.42578125" style="42"/>
  </cols>
  <sheetData>
    <row r="2" spans="2:38" ht="15.75">
      <c r="B2" s="84" t="s">
        <v>190</v>
      </c>
      <c r="D2" s="96"/>
      <c r="E2" s="96"/>
      <c r="G2" s="46"/>
    </row>
    <row r="3" spans="2:38" ht="13.5" thickBot="1">
      <c r="F3" s="90"/>
      <c r="G3" s="90"/>
      <c r="H3" s="98"/>
      <c r="I3" s="90"/>
    </row>
    <row r="4" spans="2:38" ht="38.25">
      <c r="C4" s="143" t="s">
        <v>191</v>
      </c>
      <c r="D4" s="191"/>
      <c r="F4" s="90"/>
      <c r="G4" s="90"/>
      <c r="H4" s="98"/>
      <c r="I4" s="90"/>
    </row>
    <row r="5" spans="2:38" ht="13.5" thickBot="1">
      <c r="C5" s="144" t="s">
        <v>192</v>
      </c>
      <c r="D5" s="192"/>
      <c r="F5" s="90"/>
      <c r="G5" s="90"/>
      <c r="H5" s="98"/>
      <c r="I5" s="90"/>
    </row>
    <row r="6" spans="2:38">
      <c r="F6" s="90"/>
      <c r="G6" s="90"/>
      <c r="H6" s="98"/>
      <c r="I6" s="90"/>
    </row>
    <row r="7" spans="2:38">
      <c r="D7" s="97"/>
      <c r="E7" s="97"/>
    </row>
    <row r="8" spans="2:38" ht="13.5" thickBot="1">
      <c r="D8" s="97"/>
      <c r="E8" s="97"/>
      <c r="AI8" s="42" t="s">
        <v>73</v>
      </c>
    </row>
    <row r="9" spans="2:38" ht="58.5" customHeight="1">
      <c r="B9" s="145" t="s">
        <v>193</v>
      </c>
      <c r="C9" s="148" t="s">
        <v>194</v>
      </c>
      <c r="D9" s="148" t="s">
        <v>195</v>
      </c>
      <c r="E9" s="148" t="s">
        <v>196</v>
      </c>
      <c r="F9" s="148" t="s">
        <v>197</v>
      </c>
      <c r="G9" s="148" t="s">
        <v>198</v>
      </c>
      <c r="H9" s="148" t="s">
        <v>199</v>
      </c>
      <c r="I9" s="148" t="s">
        <v>192</v>
      </c>
      <c r="J9" s="148" t="s">
        <v>200</v>
      </c>
      <c r="K9" s="148" t="s">
        <v>201</v>
      </c>
      <c r="L9" s="148" t="s">
        <v>202</v>
      </c>
      <c r="M9" s="148" t="s">
        <v>203</v>
      </c>
      <c r="N9" s="148" t="s">
        <v>204</v>
      </c>
      <c r="O9" s="148" t="s">
        <v>205</v>
      </c>
      <c r="P9" s="148" t="s">
        <v>206</v>
      </c>
      <c r="Q9" s="148" t="s">
        <v>207</v>
      </c>
      <c r="R9" s="148" t="s">
        <v>82</v>
      </c>
      <c r="S9" s="148" t="s">
        <v>141</v>
      </c>
      <c r="T9" s="149" t="s">
        <v>208</v>
      </c>
      <c r="U9" s="149" t="s">
        <v>85</v>
      </c>
      <c r="V9" s="150" t="s">
        <v>209</v>
      </c>
      <c r="W9" s="134" t="s">
        <v>210</v>
      </c>
      <c r="X9" s="123" t="s">
        <v>211</v>
      </c>
      <c r="Y9" s="124" t="s">
        <v>212</v>
      </c>
      <c r="AI9" s="283" t="s">
        <v>86</v>
      </c>
      <c r="AJ9" s="283" t="s">
        <v>213</v>
      </c>
      <c r="AK9" s="283" t="s">
        <v>87</v>
      </c>
      <c r="AL9" s="283" t="s">
        <v>88</v>
      </c>
    </row>
    <row r="10" spans="2:38" ht="13.5" thickBot="1">
      <c r="B10" s="146">
        <v>1</v>
      </c>
      <c r="C10" s="193"/>
      <c r="D10" s="193"/>
      <c r="E10" s="181"/>
      <c r="F10" s="181"/>
      <c r="G10" s="194" t="str">
        <f t="shared" ref="G10:G22" si="0">IF(D10="","",VLOOKUP(D10,$AC$17:$AE$20,2,0))</f>
        <v/>
      </c>
      <c r="H10" s="181" t="str">
        <f>IF(D4="","",D4)</f>
        <v/>
      </c>
      <c r="I10" s="181" t="str">
        <f>IF(D5="","",D5)</f>
        <v/>
      </c>
      <c r="J10" s="195" t="str">
        <f t="shared" ref="J10:J22" si="1">IF(C10="","",C10*E10*I10)</f>
        <v/>
      </c>
      <c r="K10" s="196" t="str">
        <f t="shared" ref="K10:K22" si="2">IF(C10="","",F10/0.9071847)</f>
        <v/>
      </c>
      <c r="L10" s="196" t="str">
        <f>IF(C10="","",(($AC$11*((G10/12)^$AC$12)*((K10/3)^$AC$13))/1000))</f>
        <v/>
      </c>
      <c r="M10" s="196" t="str">
        <f>IF(C10="","",(($AD$11*((G10/12)^$AD$12)*((K10/3)^$AD$13))/1000))</f>
        <v/>
      </c>
      <c r="N10" s="195" t="str">
        <f t="shared" ref="N10:N22" si="3">IF(C10="","",(L10*J10))</f>
        <v/>
      </c>
      <c r="O10" s="197" t="str">
        <f t="shared" ref="O10:O22" si="4">IF(C10="","",(M10*J10))</f>
        <v/>
      </c>
      <c r="P10" s="197" t="str">
        <f t="shared" ref="P10:P22" si="5">IF(C10="","",(N10*(1-(H10/365))))</f>
        <v/>
      </c>
      <c r="Q10" s="197" t="str">
        <f t="shared" ref="Q10:Q22" si="6">IF(C10="","",(O10*(1-(H10/365))))</f>
        <v/>
      </c>
      <c r="R10" s="197"/>
      <c r="S10" s="198" t="str">
        <f t="shared" ref="S10:S22" si="7">IF(R10="","",VLOOKUP(R10,$AB$25:$AC$30,2,0))</f>
        <v/>
      </c>
      <c r="T10" s="199" t="str">
        <f>IF(R10="","",P10*(1-(S10/100)))</f>
        <v/>
      </c>
      <c r="U10" s="200" t="str">
        <f>IF(R10="","",Q10*(1-(S10/100)))</f>
        <v/>
      </c>
      <c r="V10" s="201"/>
      <c r="W10" s="135" t="str">
        <f>IF(V10="","",VLOOKUP(V10,Tabla2144[],2,0))</f>
        <v/>
      </c>
      <c r="X10" s="113" t="str">
        <f>IF(V10="","",(T10*W10))</f>
        <v/>
      </c>
      <c r="Y10" s="125" t="str">
        <f>IF(V10="","",(U10*W10))</f>
        <v/>
      </c>
      <c r="AB10" s="17" t="s">
        <v>214</v>
      </c>
      <c r="AC10" s="18" t="s">
        <v>94</v>
      </c>
      <c r="AD10" s="18" t="s">
        <v>95</v>
      </c>
      <c r="AI10" s="284" t="s">
        <v>89</v>
      </c>
      <c r="AJ10" s="285">
        <v>25</v>
      </c>
      <c r="AK10" s="284" t="s">
        <v>90</v>
      </c>
      <c r="AL10" s="284" t="s">
        <v>91</v>
      </c>
    </row>
    <row r="11" spans="2:38">
      <c r="B11" s="146">
        <v>2</v>
      </c>
      <c r="C11" s="193"/>
      <c r="D11" s="193"/>
      <c r="E11" s="181"/>
      <c r="F11" s="181"/>
      <c r="G11" s="194" t="str">
        <f t="shared" si="0"/>
        <v/>
      </c>
      <c r="H11" s="181" t="str">
        <f>IF(H10="","",H10)</f>
        <v/>
      </c>
      <c r="I11" s="181" t="str">
        <f>IF(I10="","",I10)</f>
        <v/>
      </c>
      <c r="J11" s="195" t="str">
        <f t="shared" si="1"/>
        <v/>
      </c>
      <c r="K11" s="196" t="str">
        <f t="shared" si="2"/>
        <v/>
      </c>
      <c r="L11" s="196" t="str">
        <f t="shared" ref="L11:L22" si="8">IF(C11="","",(($AC$11*((G11/12)^$AC$12)*((K11/3)^$AC$13))/1000))</f>
        <v/>
      </c>
      <c r="M11" s="196" t="str">
        <f t="shared" ref="M11:M22" si="9">IF(C11="","",(($AD$11*((G11/12)^$AD$12)*((K11/3)^$AD$13))/1000))</f>
        <v/>
      </c>
      <c r="N11" s="195" t="str">
        <f t="shared" si="3"/>
        <v/>
      </c>
      <c r="O11" s="197" t="str">
        <f t="shared" si="4"/>
        <v/>
      </c>
      <c r="P11" s="197" t="str">
        <f t="shared" si="5"/>
        <v/>
      </c>
      <c r="Q11" s="197" t="str">
        <f t="shared" si="6"/>
        <v/>
      </c>
      <c r="R11" s="197"/>
      <c r="S11" s="198" t="str">
        <f t="shared" si="7"/>
        <v/>
      </c>
      <c r="T11" s="199" t="str">
        <f>IF(R11="","",P11*(1-(S11/100)))</f>
        <v/>
      </c>
      <c r="U11" s="200" t="str">
        <f>IF(R11="","",Q11*(1-(S11/100)))</f>
        <v/>
      </c>
      <c r="V11" s="201"/>
      <c r="W11" s="135" t="str">
        <f>IF(V11="","",VLOOKUP(V11,Tabla2144[],2,0))</f>
        <v/>
      </c>
      <c r="X11" s="113" t="str">
        <f t="shared" ref="X11:X22" si="10">IF(V11="","",(T11*W11))</f>
        <v/>
      </c>
      <c r="Y11" s="125" t="str">
        <f t="shared" ref="Y11:Y22" si="11">IF(V11="","",(U11*W11))</f>
        <v/>
      </c>
      <c r="AB11" s="1" t="s">
        <v>215</v>
      </c>
      <c r="AC11" s="2">
        <v>422.85</v>
      </c>
      <c r="AD11" s="2">
        <v>1381.31</v>
      </c>
      <c r="AI11" s="284" t="s">
        <v>93</v>
      </c>
      <c r="AJ11" s="285">
        <v>22</v>
      </c>
      <c r="AK11" s="284" t="s">
        <v>90</v>
      </c>
      <c r="AL11" s="284" t="s">
        <v>91</v>
      </c>
    </row>
    <row r="12" spans="2:38">
      <c r="B12" s="146">
        <v>3</v>
      </c>
      <c r="C12" s="193"/>
      <c r="D12" s="193"/>
      <c r="E12" s="181"/>
      <c r="F12" s="181"/>
      <c r="G12" s="194" t="str">
        <f t="shared" si="0"/>
        <v/>
      </c>
      <c r="H12" s="181" t="str">
        <f t="shared" ref="H12:H22" si="12">IF(H11="","",H11)</f>
        <v/>
      </c>
      <c r="I12" s="181" t="str">
        <f t="shared" ref="I12:I22" si="13">IF(I11="","",I11)</f>
        <v/>
      </c>
      <c r="J12" s="195" t="str">
        <f t="shared" si="1"/>
        <v/>
      </c>
      <c r="K12" s="196" t="str">
        <f t="shared" si="2"/>
        <v/>
      </c>
      <c r="L12" s="196" t="str">
        <f t="shared" si="8"/>
        <v/>
      </c>
      <c r="M12" s="196" t="str">
        <f t="shared" si="9"/>
        <v/>
      </c>
      <c r="N12" s="195" t="str">
        <f t="shared" si="3"/>
        <v/>
      </c>
      <c r="O12" s="197" t="str">
        <f t="shared" si="4"/>
        <v/>
      </c>
      <c r="P12" s="197" t="str">
        <f t="shared" si="5"/>
        <v/>
      </c>
      <c r="Q12" s="197" t="str">
        <f t="shared" si="6"/>
        <v/>
      </c>
      <c r="R12" s="197"/>
      <c r="S12" s="198" t="str">
        <f t="shared" si="7"/>
        <v/>
      </c>
      <c r="T12" s="199" t="str">
        <f t="shared" ref="T12:T22" si="14">IF(R12="","",P12*(1-(S12/100)))</f>
        <v/>
      </c>
      <c r="U12" s="200" t="str">
        <f t="shared" ref="U12:U22" si="15">IF(R12="","",Q12*(1-(S12/100)))</f>
        <v/>
      </c>
      <c r="V12" s="201"/>
      <c r="W12" s="135" t="str">
        <f>IF(V12="","",VLOOKUP(V12,Tabla2144[],2,0))</f>
        <v/>
      </c>
      <c r="X12" s="113" t="str">
        <f t="shared" si="10"/>
        <v/>
      </c>
      <c r="Y12" s="125" t="str">
        <f t="shared" si="11"/>
        <v/>
      </c>
      <c r="AB12" s="1" t="s">
        <v>216</v>
      </c>
      <c r="AC12" s="2">
        <v>0.9</v>
      </c>
      <c r="AD12" s="2">
        <v>0.7</v>
      </c>
      <c r="AI12" s="284" t="s">
        <v>103</v>
      </c>
      <c r="AJ12" s="285">
        <v>0</v>
      </c>
      <c r="AK12" s="284" t="s">
        <v>99</v>
      </c>
      <c r="AL12" s="284" t="s">
        <v>100</v>
      </c>
    </row>
    <row r="13" spans="2:38">
      <c r="B13" s="146">
        <v>5</v>
      </c>
      <c r="C13" s="193"/>
      <c r="D13" s="193"/>
      <c r="E13" s="181"/>
      <c r="F13" s="181"/>
      <c r="G13" s="194" t="str">
        <f t="shared" si="0"/>
        <v/>
      </c>
      <c r="H13" s="181" t="str">
        <f t="shared" si="12"/>
        <v/>
      </c>
      <c r="I13" s="181" t="str">
        <f t="shared" si="13"/>
        <v/>
      </c>
      <c r="J13" s="195" t="str">
        <f t="shared" si="1"/>
        <v/>
      </c>
      <c r="K13" s="196" t="str">
        <f t="shared" si="2"/>
        <v/>
      </c>
      <c r="L13" s="196" t="str">
        <f t="shared" si="8"/>
        <v/>
      </c>
      <c r="M13" s="196" t="str">
        <f t="shared" si="9"/>
        <v/>
      </c>
      <c r="N13" s="195" t="str">
        <f t="shared" si="3"/>
        <v/>
      </c>
      <c r="O13" s="197" t="str">
        <f t="shared" si="4"/>
        <v/>
      </c>
      <c r="P13" s="197" t="str">
        <f t="shared" si="5"/>
        <v/>
      </c>
      <c r="Q13" s="197" t="str">
        <f t="shared" si="6"/>
        <v/>
      </c>
      <c r="R13" s="197"/>
      <c r="S13" s="198" t="str">
        <f t="shared" si="7"/>
        <v/>
      </c>
      <c r="T13" s="199" t="str">
        <f t="shared" si="14"/>
        <v/>
      </c>
      <c r="U13" s="200" t="str">
        <f t="shared" si="15"/>
        <v/>
      </c>
      <c r="V13" s="201"/>
      <c r="W13" s="135" t="str">
        <f>IF(V13="","",VLOOKUP(V13,Tabla2144[],2,0))</f>
        <v/>
      </c>
      <c r="X13" s="113" t="str">
        <f t="shared" si="10"/>
        <v/>
      </c>
      <c r="Y13" s="125" t="str">
        <f t="shared" si="11"/>
        <v/>
      </c>
      <c r="AB13" s="1" t="s">
        <v>217</v>
      </c>
      <c r="AC13" s="2">
        <v>0.45</v>
      </c>
      <c r="AD13" s="2">
        <v>0.45</v>
      </c>
      <c r="AI13" s="284" t="s">
        <v>105</v>
      </c>
      <c r="AJ13" s="285">
        <v>35</v>
      </c>
      <c r="AK13" s="284" t="s">
        <v>105</v>
      </c>
      <c r="AL13" s="284" t="s">
        <v>106</v>
      </c>
    </row>
    <row r="14" spans="2:38" ht="13.5" thickBot="1">
      <c r="B14" s="146">
        <v>6</v>
      </c>
      <c r="C14" s="193"/>
      <c r="D14" s="193"/>
      <c r="E14" s="181"/>
      <c r="F14" s="181"/>
      <c r="G14" s="194" t="str">
        <f t="shared" si="0"/>
        <v/>
      </c>
      <c r="H14" s="181" t="str">
        <f t="shared" si="12"/>
        <v/>
      </c>
      <c r="I14" s="181" t="str">
        <f t="shared" si="13"/>
        <v/>
      </c>
      <c r="J14" s="195" t="str">
        <f t="shared" si="1"/>
        <v/>
      </c>
      <c r="K14" s="196" t="str">
        <f t="shared" si="2"/>
        <v/>
      </c>
      <c r="L14" s="196" t="str">
        <f t="shared" si="8"/>
        <v/>
      </c>
      <c r="M14" s="196" t="str">
        <f t="shared" si="9"/>
        <v/>
      </c>
      <c r="N14" s="195" t="str">
        <f t="shared" si="3"/>
        <v/>
      </c>
      <c r="O14" s="197" t="str">
        <f t="shared" si="4"/>
        <v/>
      </c>
      <c r="P14" s="197" t="str">
        <f t="shared" si="5"/>
        <v/>
      </c>
      <c r="Q14" s="197" t="str">
        <f t="shared" si="6"/>
        <v/>
      </c>
      <c r="R14" s="197"/>
      <c r="S14" s="198" t="str">
        <f t="shared" si="7"/>
        <v/>
      </c>
      <c r="T14" s="199" t="str">
        <f t="shared" si="14"/>
        <v/>
      </c>
      <c r="U14" s="200" t="str">
        <f t="shared" si="15"/>
        <v/>
      </c>
      <c r="V14" s="201"/>
      <c r="W14" s="135" t="str">
        <f>IF(V14="","",VLOOKUP(V14,Tabla2144[],2,0))</f>
        <v/>
      </c>
      <c r="X14" s="113" t="str">
        <f t="shared" si="10"/>
        <v/>
      </c>
      <c r="Y14" s="125" t="str">
        <f t="shared" si="11"/>
        <v/>
      </c>
      <c r="AI14" s="284" t="s">
        <v>108</v>
      </c>
      <c r="AJ14" s="285">
        <v>34</v>
      </c>
      <c r="AK14" s="284" t="s">
        <v>108</v>
      </c>
      <c r="AL14" s="284" t="s">
        <v>91</v>
      </c>
    </row>
    <row r="15" spans="2:38">
      <c r="B15" s="146">
        <v>7</v>
      </c>
      <c r="C15" s="193"/>
      <c r="D15" s="193"/>
      <c r="E15" s="181"/>
      <c r="F15" s="181"/>
      <c r="G15" s="194" t="str">
        <f t="shared" si="0"/>
        <v/>
      </c>
      <c r="H15" s="181" t="str">
        <f t="shared" si="12"/>
        <v/>
      </c>
      <c r="I15" s="181" t="str">
        <f t="shared" si="13"/>
        <v/>
      </c>
      <c r="J15" s="195" t="str">
        <f t="shared" si="1"/>
        <v/>
      </c>
      <c r="K15" s="196" t="str">
        <f t="shared" si="2"/>
        <v/>
      </c>
      <c r="L15" s="196" t="str">
        <f t="shared" si="8"/>
        <v/>
      </c>
      <c r="M15" s="196" t="str">
        <f t="shared" si="9"/>
        <v/>
      </c>
      <c r="N15" s="195" t="str">
        <f t="shared" si="3"/>
        <v/>
      </c>
      <c r="O15" s="197" t="str">
        <f t="shared" si="4"/>
        <v/>
      </c>
      <c r="P15" s="197" t="str">
        <f t="shared" si="5"/>
        <v/>
      </c>
      <c r="Q15" s="197" t="str">
        <f t="shared" si="6"/>
        <v/>
      </c>
      <c r="R15" s="197"/>
      <c r="S15" s="198" t="str">
        <f t="shared" si="7"/>
        <v/>
      </c>
      <c r="T15" s="199" t="str">
        <f t="shared" si="14"/>
        <v/>
      </c>
      <c r="U15" s="200" t="str">
        <f t="shared" si="15"/>
        <v/>
      </c>
      <c r="V15" s="201"/>
      <c r="W15" s="135" t="str">
        <f>IF(V15="","",VLOOKUP(V15,Tabla2144[],2,0))</f>
        <v/>
      </c>
      <c r="X15" s="113" t="str">
        <f t="shared" si="10"/>
        <v/>
      </c>
      <c r="Y15" s="125" t="str">
        <f t="shared" si="11"/>
        <v/>
      </c>
      <c r="AB15" s="249" t="s">
        <v>122</v>
      </c>
      <c r="AC15" s="250"/>
      <c r="AD15" s="253" t="s">
        <v>218</v>
      </c>
      <c r="AE15" s="254"/>
      <c r="AF15" s="254"/>
      <c r="AG15" s="255"/>
      <c r="AI15" s="284" t="s">
        <v>109</v>
      </c>
      <c r="AJ15" s="285">
        <v>13</v>
      </c>
      <c r="AK15" s="284" t="s">
        <v>110</v>
      </c>
      <c r="AL15" s="284" t="s">
        <v>106</v>
      </c>
    </row>
    <row r="16" spans="2:38" ht="13.5" thickBot="1">
      <c r="B16" s="146">
        <v>8</v>
      </c>
      <c r="C16" s="193"/>
      <c r="D16" s="193"/>
      <c r="E16" s="181"/>
      <c r="F16" s="181"/>
      <c r="G16" s="194" t="str">
        <f t="shared" si="0"/>
        <v/>
      </c>
      <c r="H16" s="181" t="str">
        <f t="shared" si="12"/>
        <v/>
      </c>
      <c r="I16" s="181" t="str">
        <f t="shared" si="13"/>
        <v/>
      </c>
      <c r="J16" s="195" t="str">
        <f t="shared" si="1"/>
        <v/>
      </c>
      <c r="K16" s="196" t="str">
        <f t="shared" si="2"/>
        <v/>
      </c>
      <c r="L16" s="196" t="str">
        <f t="shared" si="8"/>
        <v/>
      </c>
      <c r="M16" s="196" t="str">
        <f t="shared" si="9"/>
        <v/>
      </c>
      <c r="N16" s="195" t="str">
        <f t="shared" si="3"/>
        <v/>
      </c>
      <c r="O16" s="197" t="str">
        <f t="shared" si="4"/>
        <v/>
      </c>
      <c r="P16" s="197" t="str">
        <f t="shared" si="5"/>
        <v/>
      </c>
      <c r="Q16" s="197" t="str">
        <f t="shared" si="6"/>
        <v/>
      </c>
      <c r="R16" s="197"/>
      <c r="S16" s="198" t="str">
        <f t="shared" si="7"/>
        <v/>
      </c>
      <c r="T16" s="199" t="str">
        <f t="shared" si="14"/>
        <v/>
      </c>
      <c r="U16" s="200" t="str">
        <f t="shared" si="15"/>
        <v/>
      </c>
      <c r="V16" s="201"/>
      <c r="W16" s="135" t="str">
        <f>IF(V16="","",VLOOKUP(V16,Tabla2144[],2,0))</f>
        <v/>
      </c>
      <c r="X16" s="113" t="str">
        <f t="shared" si="10"/>
        <v/>
      </c>
      <c r="Y16" s="125" t="str">
        <f t="shared" si="11"/>
        <v/>
      </c>
      <c r="AB16" s="251"/>
      <c r="AC16" s="252"/>
      <c r="AD16" s="286" t="s">
        <v>219</v>
      </c>
      <c r="AE16" s="287"/>
      <c r="AF16" s="262" t="s">
        <v>220</v>
      </c>
      <c r="AG16" s="263"/>
      <c r="AI16" s="284" t="s">
        <v>112</v>
      </c>
      <c r="AJ16" s="285">
        <v>29</v>
      </c>
      <c r="AK16" s="284" t="s">
        <v>113</v>
      </c>
      <c r="AL16" s="284" t="s">
        <v>100</v>
      </c>
    </row>
    <row r="17" spans="2:38">
      <c r="B17" s="146">
        <v>9</v>
      </c>
      <c r="C17" s="193"/>
      <c r="D17" s="193"/>
      <c r="E17" s="181"/>
      <c r="F17" s="181"/>
      <c r="G17" s="194" t="str">
        <f t="shared" si="0"/>
        <v/>
      </c>
      <c r="H17" s="181" t="str">
        <f t="shared" si="12"/>
        <v/>
      </c>
      <c r="I17" s="181" t="str">
        <f t="shared" si="13"/>
        <v/>
      </c>
      <c r="J17" s="195" t="str">
        <f t="shared" si="1"/>
        <v/>
      </c>
      <c r="K17" s="196" t="str">
        <f t="shared" si="2"/>
        <v/>
      </c>
      <c r="L17" s="196" t="str">
        <f t="shared" si="8"/>
        <v/>
      </c>
      <c r="M17" s="196" t="str">
        <f t="shared" si="9"/>
        <v/>
      </c>
      <c r="N17" s="195" t="str">
        <f t="shared" si="3"/>
        <v/>
      </c>
      <c r="O17" s="197" t="str">
        <f t="shared" si="4"/>
        <v/>
      </c>
      <c r="P17" s="197" t="str">
        <f t="shared" si="5"/>
        <v/>
      </c>
      <c r="Q17" s="197" t="str">
        <f t="shared" si="6"/>
        <v/>
      </c>
      <c r="R17" s="197"/>
      <c r="S17" s="198" t="str">
        <f t="shared" si="7"/>
        <v/>
      </c>
      <c r="T17" s="199" t="str">
        <f t="shared" si="14"/>
        <v/>
      </c>
      <c r="U17" s="200" t="str">
        <f t="shared" si="15"/>
        <v/>
      </c>
      <c r="V17" s="201"/>
      <c r="W17" s="135" t="str">
        <f>IF(V17="","",VLOOKUP(V17,Tabla2144[],2,0))</f>
        <v/>
      </c>
      <c r="X17" s="113" t="str">
        <f t="shared" si="10"/>
        <v/>
      </c>
      <c r="Y17" s="125" t="str">
        <f t="shared" si="11"/>
        <v/>
      </c>
      <c r="AB17" s="260" t="s">
        <v>221</v>
      </c>
      <c r="AC17" s="37" t="s">
        <v>222</v>
      </c>
      <c r="AD17" s="264">
        <v>10</v>
      </c>
      <c r="AE17" s="265"/>
      <c r="AF17" s="264" t="s">
        <v>223</v>
      </c>
      <c r="AG17" s="266"/>
      <c r="AI17" s="284" t="s">
        <v>115</v>
      </c>
      <c r="AJ17" s="285">
        <v>39</v>
      </c>
      <c r="AK17" s="284" t="s">
        <v>116</v>
      </c>
      <c r="AL17" s="284" t="s">
        <v>106</v>
      </c>
    </row>
    <row r="18" spans="2:38" ht="13.5" thickBot="1">
      <c r="B18" s="146">
        <v>10</v>
      </c>
      <c r="C18" s="193"/>
      <c r="D18" s="193"/>
      <c r="E18" s="181"/>
      <c r="F18" s="181"/>
      <c r="G18" s="194" t="str">
        <f t="shared" si="0"/>
        <v/>
      </c>
      <c r="H18" s="181" t="str">
        <f t="shared" si="12"/>
        <v/>
      </c>
      <c r="I18" s="181" t="str">
        <f t="shared" si="13"/>
        <v/>
      </c>
      <c r="J18" s="195" t="str">
        <f t="shared" si="1"/>
        <v/>
      </c>
      <c r="K18" s="196" t="str">
        <f t="shared" si="2"/>
        <v/>
      </c>
      <c r="L18" s="196" t="str">
        <f t="shared" si="8"/>
        <v/>
      </c>
      <c r="M18" s="196" t="str">
        <f t="shared" si="9"/>
        <v/>
      </c>
      <c r="N18" s="195" t="str">
        <f t="shared" si="3"/>
        <v/>
      </c>
      <c r="O18" s="197" t="str">
        <f t="shared" si="4"/>
        <v/>
      </c>
      <c r="P18" s="197" t="str">
        <f t="shared" si="5"/>
        <v/>
      </c>
      <c r="Q18" s="197" t="str">
        <f t="shared" si="6"/>
        <v/>
      </c>
      <c r="R18" s="197"/>
      <c r="S18" s="198" t="str">
        <f t="shared" si="7"/>
        <v/>
      </c>
      <c r="T18" s="199" t="str">
        <f t="shared" si="14"/>
        <v/>
      </c>
      <c r="U18" s="200" t="str">
        <f t="shared" si="15"/>
        <v/>
      </c>
      <c r="V18" s="201"/>
      <c r="W18" s="135" t="str">
        <f>IF(V18="","",VLOOKUP(V18,Tabla2144[],2,0))</f>
        <v/>
      </c>
      <c r="X18" s="113" t="str">
        <f t="shared" si="10"/>
        <v/>
      </c>
      <c r="Y18" s="125" t="str">
        <f t="shared" si="11"/>
        <v/>
      </c>
      <c r="AB18" s="261"/>
      <c r="AC18" s="38" t="s">
        <v>224</v>
      </c>
      <c r="AD18" s="256">
        <v>8.3000000000000007</v>
      </c>
      <c r="AE18" s="257"/>
      <c r="AF18" s="258" t="s">
        <v>225</v>
      </c>
      <c r="AG18" s="259"/>
      <c r="AI18" s="284" t="s">
        <v>118</v>
      </c>
      <c r="AJ18" s="285">
        <v>51</v>
      </c>
      <c r="AK18" s="284" t="s">
        <v>119</v>
      </c>
      <c r="AL18" s="284" t="s">
        <v>106</v>
      </c>
    </row>
    <row r="19" spans="2:38">
      <c r="B19" s="146">
        <v>11</v>
      </c>
      <c r="C19" s="193"/>
      <c r="D19" s="193"/>
      <c r="E19" s="181"/>
      <c r="F19" s="181"/>
      <c r="G19" s="194" t="str">
        <f t="shared" si="0"/>
        <v/>
      </c>
      <c r="H19" s="181" t="str">
        <f t="shared" si="12"/>
        <v/>
      </c>
      <c r="I19" s="181" t="str">
        <f t="shared" si="13"/>
        <v/>
      </c>
      <c r="J19" s="195" t="str">
        <f t="shared" si="1"/>
        <v/>
      </c>
      <c r="K19" s="196" t="str">
        <f t="shared" si="2"/>
        <v/>
      </c>
      <c r="L19" s="196" t="str">
        <f t="shared" si="8"/>
        <v/>
      </c>
      <c r="M19" s="196" t="str">
        <f t="shared" si="9"/>
        <v/>
      </c>
      <c r="N19" s="195" t="str">
        <f t="shared" si="3"/>
        <v/>
      </c>
      <c r="O19" s="197" t="str">
        <f t="shared" si="4"/>
        <v/>
      </c>
      <c r="P19" s="197" t="str">
        <f t="shared" si="5"/>
        <v/>
      </c>
      <c r="Q19" s="197" t="str">
        <f t="shared" si="6"/>
        <v/>
      </c>
      <c r="R19" s="197"/>
      <c r="S19" s="198" t="str">
        <f t="shared" si="7"/>
        <v/>
      </c>
      <c r="T19" s="199" t="str">
        <f t="shared" si="14"/>
        <v/>
      </c>
      <c r="U19" s="200" t="str">
        <f t="shared" si="15"/>
        <v/>
      </c>
      <c r="V19" s="201"/>
      <c r="W19" s="135" t="str">
        <f>IF(V19="","",VLOOKUP(V19,Tabla2144[],2,0))</f>
        <v/>
      </c>
      <c r="X19" s="113" t="str">
        <f t="shared" si="10"/>
        <v/>
      </c>
      <c r="Y19" s="125" t="str">
        <f t="shared" si="11"/>
        <v/>
      </c>
      <c r="AB19" s="260" t="s">
        <v>226</v>
      </c>
      <c r="AC19" s="37" t="s">
        <v>227</v>
      </c>
      <c r="AD19" s="288">
        <v>4.8</v>
      </c>
      <c r="AE19" s="289"/>
      <c r="AF19" s="290" t="s">
        <v>228</v>
      </c>
      <c r="AG19" s="291"/>
      <c r="AI19" s="284" t="s">
        <v>120</v>
      </c>
      <c r="AJ19" s="285">
        <v>36</v>
      </c>
      <c r="AK19" s="284" t="s">
        <v>121</v>
      </c>
      <c r="AL19" s="284" t="s">
        <v>100</v>
      </c>
    </row>
    <row r="20" spans="2:38" ht="13.5" customHeight="1" thickBot="1">
      <c r="B20" s="146">
        <v>12</v>
      </c>
      <c r="C20" s="193"/>
      <c r="D20" s="193"/>
      <c r="E20" s="181"/>
      <c r="F20" s="181"/>
      <c r="G20" s="194" t="str">
        <f t="shared" si="0"/>
        <v/>
      </c>
      <c r="H20" s="181" t="str">
        <f t="shared" si="12"/>
        <v/>
      </c>
      <c r="I20" s="181" t="str">
        <f t="shared" si="13"/>
        <v/>
      </c>
      <c r="J20" s="195" t="str">
        <f t="shared" si="1"/>
        <v/>
      </c>
      <c r="K20" s="196" t="str">
        <f t="shared" si="2"/>
        <v/>
      </c>
      <c r="L20" s="196" t="str">
        <f t="shared" si="8"/>
        <v/>
      </c>
      <c r="M20" s="196" t="str">
        <f t="shared" si="9"/>
        <v/>
      </c>
      <c r="N20" s="195" t="str">
        <f t="shared" si="3"/>
        <v/>
      </c>
      <c r="O20" s="197" t="str">
        <f t="shared" si="4"/>
        <v/>
      </c>
      <c r="P20" s="197" t="str">
        <f t="shared" si="5"/>
        <v/>
      </c>
      <c r="Q20" s="197" t="str">
        <f t="shared" si="6"/>
        <v/>
      </c>
      <c r="R20" s="197"/>
      <c r="S20" s="198" t="str">
        <f t="shared" si="7"/>
        <v/>
      </c>
      <c r="T20" s="199" t="str">
        <f t="shared" si="14"/>
        <v/>
      </c>
      <c r="U20" s="200" t="str">
        <f t="shared" si="15"/>
        <v/>
      </c>
      <c r="V20" s="201"/>
      <c r="W20" s="135" t="str">
        <f>IF(V20="","",VLOOKUP(V20,Tabla2144[],2,0))</f>
        <v/>
      </c>
      <c r="X20" s="113" t="str">
        <f t="shared" si="10"/>
        <v/>
      </c>
      <c r="Y20" s="125" t="str">
        <f t="shared" si="11"/>
        <v/>
      </c>
      <c r="AB20" s="261"/>
      <c r="AC20" s="39" t="s">
        <v>229</v>
      </c>
      <c r="AD20" s="292">
        <v>7.1</v>
      </c>
      <c r="AE20" s="293"/>
      <c r="AF20" s="292" t="s">
        <v>230</v>
      </c>
      <c r="AG20" s="294"/>
      <c r="AI20" s="284" t="s">
        <v>124</v>
      </c>
      <c r="AJ20" s="285">
        <v>79</v>
      </c>
      <c r="AK20" s="284" t="s">
        <v>121</v>
      </c>
      <c r="AL20" s="284" t="s">
        <v>100</v>
      </c>
    </row>
    <row r="21" spans="2:38" ht="13.5" thickBot="1">
      <c r="B21" s="146">
        <v>13</v>
      </c>
      <c r="C21" s="193"/>
      <c r="D21" s="193"/>
      <c r="E21" s="181"/>
      <c r="F21" s="181"/>
      <c r="G21" s="194" t="str">
        <f t="shared" si="0"/>
        <v/>
      </c>
      <c r="H21" s="181" t="str">
        <f t="shared" si="12"/>
        <v/>
      </c>
      <c r="I21" s="181" t="str">
        <f t="shared" si="13"/>
        <v/>
      </c>
      <c r="J21" s="195" t="str">
        <f t="shared" si="1"/>
        <v/>
      </c>
      <c r="K21" s="196" t="str">
        <f t="shared" si="2"/>
        <v/>
      </c>
      <c r="L21" s="196" t="str">
        <f t="shared" si="8"/>
        <v/>
      </c>
      <c r="M21" s="196" t="str">
        <f t="shared" si="9"/>
        <v/>
      </c>
      <c r="N21" s="195" t="str">
        <f t="shared" si="3"/>
        <v/>
      </c>
      <c r="O21" s="197" t="str">
        <f t="shared" si="4"/>
        <v/>
      </c>
      <c r="P21" s="197" t="str">
        <f t="shared" si="5"/>
        <v/>
      </c>
      <c r="Q21" s="197" t="str">
        <f t="shared" si="6"/>
        <v/>
      </c>
      <c r="R21" s="197"/>
      <c r="S21" s="198" t="str">
        <f t="shared" si="7"/>
        <v/>
      </c>
      <c r="T21" s="199" t="str">
        <f t="shared" si="14"/>
        <v/>
      </c>
      <c r="U21" s="200" t="str">
        <f t="shared" si="15"/>
        <v/>
      </c>
      <c r="V21" s="201"/>
      <c r="W21" s="135" t="str">
        <f>IF(V21="","",VLOOKUP(V21,Tabla2144[],2,0))</f>
        <v/>
      </c>
      <c r="X21" s="113" t="str">
        <f t="shared" si="10"/>
        <v/>
      </c>
      <c r="Y21" s="125" t="str">
        <f t="shared" si="11"/>
        <v/>
      </c>
      <c r="AI21" s="284" t="s">
        <v>126</v>
      </c>
      <c r="AJ21" s="285">
        <v>41</v>
      </c>
      <c r="AK21" s="284" t="s">
        <v>121</v>
      </c>
      <c r="AL21" s="284" t="s">
        <v>100</v>
      </c>
    </row>
    <row r="22" spans="2:38" ht="13.5" customHeight="1" thickBot="1">
      <c r="B22" s="147">
        <v>14</v>
      </c>
      <c r="C22" s="202"/>
      <c r="D22" s="202"/>
      <c r="E22" s="185"/>
      <c r="F22" s="185"/>
      <c r="G22" s="203" t="str">
        <f t="shared" si="0"/>
        <v/>
      </c>
      <c r="H22" s="185" t="str">
        <f t="shared" si="12"/>
        <v/>
      </c>
      <c r="I22" s="185" t="str">
        <f t="shared" si="13"/>
        <v/>
      </c>
      <c r="J22" s="204" t="str">
        <f t="shared" si="1"/>
        <v/>
      </c>
      <c r="K22" s="205" t="str">
        <f t="shared" si="2"/>
        <v/>
      </c>
      <c r="L22" s="196" t="str">
        <f t="shared" si="8"/>
        <v/>
      </c>
      <c r="M22" s="196" t="str">
        <f t="shared" si="9"/>
        <v/>
      </c>
      <c r="N22" s="204" t="str">
        <f t="shared" si="3"/>
        <v/>
      </c>
      <c r="O22" s="206" t="str">
        <f t="shared" si="4"/>
        <v/>
      </c>
      <c r="P22" s="206" t="str">
        <f t="shared" si="5"/>
        <v/>
      </c>
      <c r="Q22" s="206" t="str">
        <f t="shared" si="6"/>
        <v/>
      </c>
      <c r="R22" s="206"/>
      <c r="S22" s="207" t="str">
        <f t="shared" si="7"/>
        <v/>
      </c>
      <c r="T22" s="208" t="str">
        <f t="shared" si="14"/>
        <v/>
      </c>
      <c r="U22" s="208" t="str">
        <f t="shared" si="15"/>
        <v/>
      </c>
      <c r="V22" s="209"/>
      <c r="W22" s="135" t="str">
        <f>IF(V22="","",VLOOKUP(V22,Tabla2144[],2,0))</f>
        <v/>
      </c>
      <c r="X22" s="126" t="str">
        <f t="shared" si="10"/>
        <v/>
      </c>
      <c r="Y22" s="127" t="str">
        <f t="shared" si="11"/>
        <v/>
      </c>
      <c r="AB22" s="246" t="s">
        <v>191</v>
      </c>
      <c r="AC22" s="247"/>
      <c r="AD22" s="247"/>
      <c r="AE22" s="247"/>
      <c r="AF22" s="247"/>
      <c r="AG22" s="248"/>
      <c r="AI22" s="284" t="s">
        <v>137</v>
      </c>
      <c r="AJ22" s="285">
        <v>27</v>
      </c>
      <c r="AK22" s="284" t="s">
        <v>121</v>
      </c>
      <c r="AL22" s="284" t="s">
        <v>100</v>
      </c>
    </row>
    <row r="23" spans="2:38">
      <c r="D23" s="97"/>
      <c r="F23" s="90"/>
      <c r="G23" s="90"/>
      <c r="H23" s="98"/>
      <c r="I23" s="90"/>
      <c r="J23" s="90"/>
      <c r="K23" s="90"/>
      <c r="AI23" s="284" t="s">
        <v>139</v>
      </c>
      <c r="AJ23" s="285">
        <v>31</v>
      </c>
      <c r="AK23" s="284" t="s">
        <v>121</v>
      </c>
      <c r="AL23" s="284" t="s">
        <v>100</v>
      </c>
    </row>
    <row r="24" spans="2:38" ht="13.5" thickBot="1">
      <c r="F24" s="90"/>
      <c r="G24" s="90"/>
      <c r="H24" s="98"/>
      <c r="I24" s="90"/>
      <c r="AB24" s="5" t="s">
        <v>231</v>
      </c>
      <c r="AC24" s="6" t="s">
        <v>232</v>
      </c>
      <c r="AI24" s="284" t="s">
        <v>142</v>
      </c>
      <c r="AJ24" s="285">
        <v>35</v>
      </c>
      <c r="AK24" s="284" t="s">
        <v>121</v>
      </c>
      <c r="AL24" s="284" t="s">
        <v>100</v>
      </c>
    </row>
    <row r="25" spans="2:38">
      <c r="F25" s="90"/>
      <c r="G25" s="90"/>
      <c r="H25" s="98"/>
      <c r="I25" s="90"/>
      <c r="AB25" s="3" t="s">
        <v>233</v>
      </c>
      <c r="AC25" s="23">
        <v>44</v>
      </c>
      <c r="AI25" s="284" t="s">
        <v>146</v>
      </c>
      <c r="AJ25" s="285">
        <v>65</v>
      </c>
      <c r="AK25" s="284" t="s">
        <v>147</v>
      </c>
      <c r="AL25" s="284" t="s">
        <v>100</v>
      </c>
    </row>
    <row r="26" spans="2:38">
      <c r="F26" s="90"/>
      <c r="G26" s="90"/>
      <c r="H26" s="98"/>
      <c r="I26" s="90"/>
      <c r="AB26" s="4" t="s">
        <v>234</v>
      </c>
      <c r="AC26" s="22">
        <v>99</v>
      </c>
      <c r="AI26" s="284" t="s">
        <v>149</v>
      </c>
      <c r="AJ26" s="285">
        <v>36</v>
      </c>
      <c r="AK26" s="284" t="s">
        <v>150</v>
      </c>
      <c r="AL26" s="284" t="s">
        <v>91</v>
      </c>
    </row>
    <row r="27" spans="2:38">
      <c r="F27" s="90"/>
      <c r="G27" s="90"/>
      <c r="H27" s="98"/>
      <c r="I27" s="90"/>
      <c r="AB27" s="4" t="s">
        <v>235</v>
      </c>
      <c r="AC27" s="22">
        <v>55</v>
      </c>
      <c r="AI27" s="284" t="s">
        <v>152</v>
      </c>
      <c r="AJ27" s="285">
        <v>44</v>
      </c>
      <c r="AK27" s="284" t="s">
        <v>153</v>
      </c>
      <c r="AL27" s="284" t="s">
        <v>91</v>
      </c>
    </row>
    <row r="28" spans="2:38">
      <c r="F28" s="90"/>
      <c r="G28" s="90"/>
      <c r="H28" s="98"/>
      <c r="I28" s="90"/>
      <c r="AB28" s="4" t="s">
        <v>236</v>
      </c>
      <c r="AC28" s="22">
        <v>84</v>
      </c>
      <c r="AI28" s="284" t="s">
        <v>155</v>
      </c>
      <c r="AJ28" s="285">
        <v>38</v>
      </c>
      <c r="AK28" s="284" t="s">
        <v>156</v>
      </c>
      <c r="AL28" s="284" t="s">
        <v>100</v>
      </c>
    </row>
    <row r="29" spans="2:38" ht="13.5" thickBot="1">
      <c r="F29" s="90"/>
      <c r="G29" s="90"/>
      <c r="H29" s="98"/>
      <c r="I29" s="90"/>
      <c r="AB29" s="16" t="s">
        <v>237</v>
      </c>
      <c r="AC29" s="24"/>
      <c r="AI29" s="284" t="s">
        <v>158</v>
      </c>
      <c r="AJ29" s="285">
        <v>45</v>
      </c>
      <c r="AK29" s="284" t="s">
        <v>159</v>
      </c>
      <c r="AL29" s="284" t="s">
        <v>100</v>
      </c>
    </row>
    <row r="30" spans="2:38" ht="15.75">
      <c r="C30" s="62" t="s">
        <v>50</v>
      </c>
      <c r="D30" s="63" t="s">
        <v>238</v>
      </c>
      <c r="E30" s="64" t="s">
        <v>52</v>
      </c>
      <c r="F30" s="90"/>
      <c r="G30" s="90"/>
      <c r="H30" s="98"/>
      <c r="I30" s="90"/>
      <c r="AB30" s="7" t="s">
        <v>239</v>
      </c>
      <c r="AC30" s="11">
        <v>0</v>
      </c>
      <c r="AI30" s="284" t="s">
        <v>160</v>
      </c>
      <c r="AJ30" s="285">
        <v>6</v>
      </c>
      <c r="AK30" s="284" t="s">
        <v>161</v>
      </c>
      <c r="AL30" s="284" t="s">
        <v>100</v>
      </c>
    </row>
    <row r="31" spans="2:38" ht="15.75" thickBot="1">
      <c r="C31" s="59" t="s">
        <v>53</v>
      </c>
      <c r="D31" s="60">
        <f>SUM(X10:X22)</f>
        <v>0</v>
      </c>
      <c r="E31" s="61">
        <f>SUM(Y10:Y22)</f>
        <v>0</v>
      </c>
      <c r="F31" s="90"/>
      <c r="G31" s="90"/>
      <c r="H31" s="98"/>
      <c r="I31" s="90"/>
      <c r="AI31" s="284" t="s">
        <v>162</v>
      </c>
      <c r="AJ31" s="285">
        <v>59</v>
      </c>
      <c r="AK31" s="284" t="s">
        <v>162</v>
      </c>
      <c r="AL31" s="284" t="s">
        <v>100</v>
      </c>
    </row>
    <row r="32" spans="2:38" ht="13.5" thickBot="1">
      <c r="F32" s="90"/>
      <c r="G32" s="90"/>
      <c r="H32" s="98"/>
      <c r="I32" s="90"/>
      <c r="AB32" s="6" t="s">
        <v>209</v>
      </c>
      <c r="AC32" s="9" t="s">
        <v>240</v>
      </c>
      <c r="AI32" s="284" t="s">
        <v>163</v>
      </c>
      <c r="AJ32" s="285">
        <v>50</v>
      </c>
      <c r="AK32" s="284" t="s">
        <v>163</v>
      </c>
      <c r="AL32" s="284" t="s">
        <v>100</v>
      </c>
    </row>
    <row r="33" spans="28:38">
      <c r="AB33" s="8" t="s">
        <v>241</v>
      </c>
      <c r="AC33" s="25">
        <v>0.4</v>
      </c>
      <c r="AI33" s="284" t="s">
        <v>164</v>
      </c>
      <c r="AJ33" s="285">
        <v>8</v>
      </c>
      <c r="AK33" s="284" t="s">
        <v>164</v>
      </c>
      <c r="AL33" s="284" t="s">
        <v>106</v>
      </c>
    </row>
    <row r="34" spans="28:38">
      <c r="AB34" s="8" t="s">
        <v>242</v>
      </c>
      <c r="AC34" s="25">
        <v>0.85</v>
      </c>
      <c r="AI34" s="284" t="s">
        <v>165</v>
      </c>
      <c r="AJ34" s="285">
        <v>2</v>
      </c>
      <c r="AK34" s="284" t="s">
        <v>165</v>
      </c>
      <c r="AL34" s="284" t="s">
        <v>91</v>
      </c>
    </row>
    <row r="35" spans="28:38">
      <c r="AB35" s="8" t="s">
        <v>243</v>
      </c>
      <c r="AC35" s="25">
        <v>0.97</v>
      </c>
      <c r="AI35" s="284" t="s">
        <v>169</v>
      </c>
      <c r="AJ35" s="285">
        <v>83</v>
      </c>
      <c r="AK35" s="284" t="s">
        <v>170</v>
      </c>
      <c r="AL35" s="284" t="s">
        <v>100</v>
      </c>
    </row>
    <row r="36" spans="28:38">
      <c r="AB36" s="8" t="s">
        <v>244</v>
      </c>
      <c r="AC36" s="25">
        <v>0.7</v>
      </c>
      <c r="AI36" s="284" t="s">
        <v>171</v>
      </c>
      <c r="AJ36" s="285">
        <v>40</v>
      </c>
      <c r="AK36" s="284" t="s">
        <v>172</v>
      </c>
      <c r="AL36" s="284" t="s">
        <v>106</v>
      </c>
    </row>
    <row r="37" spans="28:38">
      <c r="AB37" s="8" t="s">
        <v>245</v>
      </c>
      <c r="AC37" s="25">
        <v>0.3</v>
      </c>
      <c r="AI37" s="284" t="s">
        <v>173</v>
      </c>
      <c r="AJ37" s="285">
        <v>25</v>
      </c>
      <c r="AK37" s="284" t="s">
        <v>173</v>
      </c>
      <c r="AL37" s="284" t="s">
        <v>106</v>
      </c>
    </row>
    <row r="38" spans="28:38">
      <c r="AB38" s="10" t="s">
        <v>246</v>
      </c>
      <c r="AC38" s="26">
        <v>0.05</v>
      </c>
      <c r="AI38" s="284" t="s">
        <v>174</v>
      </c>
      <c r="AJ38" s="285">
        <v>5</v>
      </c>
      <c r="AK38" s="284" t="s">
        <v>175</v>
      </c>
      <c r="AL38" s="284" t="s">
        <v>106</v>
      </c>
    </row>
    <row r="39" spans="28:38">
      <c r="AI39" s="284" t="s">
        <v>176</v>
      </c>
      <c r="AJ39" s="285">
        <v>35</v>
      </c>
      <c r="AK39" s="284" t="s">
        <v>177</v>
      </c>
      <c r="AL39" s="284" t="s">
        <v>106</v>
      </c>
    </row>
    <row r="40" spans="28:38">
      <c r="AI40" s="284" t="s">
        <v>178</v>
      </c>
      <c r="AJ40" s="285">
        <v>30</v>
      </c>
      <c r="AK40" s="284" t="s">
        <v>177</v>
      </c>
      <c r="AL40" s="284" t="s">
        <v>106</v>
      </c>
    </row>
    <row r="41" spans="28:38">
      <c r="AI41" s="284" t="s">
        <v>179</v>
      </c>
      <c r="AJ41" s="285">
        <v>31</v>
      </c>
      <c r="AK41" s="284" t="s">
        <v>177</v>
      </c>
      <c r="AL41" s="284" t="s">
        <v>106</v>
      </c>
    </row>
    <row r="42" spans="28:38">
      <c r="AI42" s="284" t="s">
        <v>180</v>
      </c>
      <c r="AJ42" s="285">
        <v>34</v>
      </c>
      <c r="AK42" s="284" t="s">
        <v>177</v>
      </c>
      <c r="AL42" s="284" t="s">
        <v>106</v>
      </c>
    </row>
    <row r="43" spans="28:38">
      <c r="AI43" s="284" t="s">
        <v>181</v>
      </c>
      <c r="AJ43" s="285">
        <v>42</v>
      </c>
      <c r="AK43" s="284" t="s">
        <v>177</v>
      </c>
      <c r="AL43" s="284" t="s">
        <v>106</v>
      </c>
    </row>
    <row r="44" spans="28:38">
      <c r="AI44" s="284" t="s">
        <v>182</v>
      </c>
      <c r="AJ44" s="285">
        <v>117</v>
      </c>
      <c r="AK44" s="284" t="s">
        <v>183</v>
      </c>
      <c r="AL44" s="284" t="s">
        <v>100</v>
      </c>
    </row>
    <row r="45" spans="28:38">
      <c r="AI45" s="284" t="s">
        <v>184</v>
      </c>
      <c r="AJ45" s="285">
        <v>3</v>
      </c>
      <c r="AK45" s="284" t="s">
        <v>184</v>
      </c>
      <c r="AL45" s="284" t="s">
        <v>106</v>
      </c>
    </row>
    <row r="46" spans="28:38">
      <c r="AI46" s="284" t="s">
        <v>185</v>
      </c>
      <c r="AJ46" s="285">
        <v>55</v>
      </c>
      <c r="AK46" s="284" t="s">
        <v>185</v>
      </c>
      <c r="AL46" s="284" t="s">
        <v>106</v>
      </c>
    </row>
    <row r="47" spans="28:38">
      <c r="AI47" s="284" t="s">
        <v>186</v>
      </c>
      <c r="AJ47" s="285">
        <v>5</v>
      </c>
      <c r="AK47" s="284" t="s">
        <v>187</v>
      </c>
      <c r="AL47" s="284" t="s">
        <v>100</v>
      </c>
    </row>
    <row r="48" spans="28:38">
      <c r="AI48" s="284" t="s">
        <v>188</v>
      </c>
      <c r="AJ48" s="285">
        <v>81</v>
      </c>
      <c r="AK48" s="284" t="s">
        <v>189</v>
      </c>
      <c r="AL48" s="284" t="s">
        <v>100</v>
      </c>
    </row>
    <row r="57" spans="3:25">
      <c r="C57" s="99"/>
      <c r="D57" s="99"/>
      <c r="E57" s="99"/>
      <c r="F57" s="99"/>
      <c r="G57" s="99"/>
      <c r="H57" s="99"/>
      <c r="I57" s="99"/>
      <c r="J57" s="99"/>
      <c r="K57" s="99"/>
      <c r="L57" s="99"/>
      <c r="M57" s="99"/>
      <c r="N57" s="99"/>
      <c r="O57" s="99"/>
      <c r="P57" s="99"/>
      <c r="Q57" s="99"/>
      <c r="R57" s="99"/>
      <c r="S57" s="99"/>
      <c r="T57" s="99"/>
      <c r="U57" s="100"/>
      <c r="V57" s="99"/>
      <c r="W57" s="99"/>
      <c r="X57" s="99"/>
      <c r="Y57" s="100"/>
    </row>
    <row r="58" spans="3:25">
      <c r="C58" s="97"/>
      <c r="G58" s="97"/>
    </row>
    <row r="61" spans="3:25">
      <c r="C61" s="97"/>
      <c r="D61" s="101"/>
      <c r="E61" s="101"/>
    </row>
  </sheetData>
  <sheetProtection algorithmName="SHA-512" hashValue="kXLi80Gsm45xeW2IjswMGPGhX14F+Xk15i6INeWtWqelw+qRXXBRNVWOc+sKC5tgsU83qFFt7ebJkK/Y4Be7YQ==" saltValue="krMFfC299BVl4pUHV82J7A==" spinCount="100000" sheet="1"/>
  <mergeCells count="15">
    <mergeCell ref="AB22:AG22"/>
    <mergeCell ref="AB15:AC16"/>
    <mergeCell ref="AD15:AG15"/>
    <mergeCell ref="AD18:AE18"/>
    <mergeCell ref="AF18:AG18"/>
    <mergeCell ref="AD19:AE19"/>
    <mergeCell ref="AF19:AG19"/>
    <mergeCell ref="AD20:AE20"/>
    <mergeCell ref="AF20:AG20"/>
    <mergeCell ref="AB17:AB18"/>
    <mergeCell ref="AB19:AB20"/>
    <mergeCell ref="AD16:AE16"/>
    <mergeCell ref="AF16:AG16"/>
    <mergeCell ref="AD17:AE17"/>
    <mergeCell ref="AF17:AG17"/>
  </mergeCells>
  <dataValidations count="3">
    <dataValidation type="list" allowBlank="1" showInputMessage="1" showErrorMessage="1" sqref="D10:D22" xr:uid="{8A146A4F-43B7-4A49-B818-BAE6976CDDAC}">
      <formula1>$AC$17:$AC$20</formula1>
    </dataValidation>
    <dataValidation type="list" allowBlank="1" showInputMessage="1" showErrorMessage="1" promptTitle="Medidas correctoras" prompt="Seleccione una medida correctora de la lista" sqref="R10:R22" xr:uid="{EA663430-037D-4BB3-9F0A-4ACCB294944B}">
      <formula1>$AB$25:$AB$30</formula1>
    </dataValidation>
    <dataValidation type="list" allowBlank="1" showInputMessage="1" showErrorMessage="1" promptTitle="Entorno" prompt="Seleccione un tipo de entorno" sqref="V10:V22" xr:uid="{34D183D5-7AF4-4C34-AB84-079F56FFCF17}">
      <formula1>$AB$33:$AB$38</formula1>
    </dataValidation>
  </dataValidations>
  <pageMargins left="0.7" right="0.7" top="0.75" bottom="0.75" header="0.3" footer="0.3"/>
  <drawing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829B2-A9AB-4677-9B93-797A427C4671}">
  <dimension ref="B2:AC27"/>
  <sheetViews>
    <sheetView zoomScale="41" zoomScaleNormal="41" workbookViewId="0">
      <selection activeCell="R34" sqref="R34"/>
    </sheetView>
  </sheetViews>
  <sheetFormatPr defaultColWidth="11.42578125" defaultRowHeight="12.75"/>
  <cols>
    <col min="1" max="1" width="5.140625" style="42" customWidth="1"/>
    <col min="2" max="2" width="7.5703125" style="42" customWidth="1"/>
    <col min="3" max="3" width="31.28515625" style="42" customWidth="1"/>
    <col min="4" max="5" width="22.5703125" style="42" customWidth="1"/>
    <col min="6" max="6" width="19.85546875" style="42" customWidth="1"/>
    <col min="7" max="7" width="20.7109375" style="42" hidden="1" customWidth="1"/>
    <col min="8" max="8" width="14.28515625" style="42" hidden="1" customWidth="1"/>
    <col min="9" max="13" width="11.85546875" style="42" hidden="1" customWidth="1"/>
    <col min="14" max="16" width="15" style="42" hidden="1" customWidth="1"/>
    <col min="17" max="17" width="5.42578125" style="42" hidden="1" customWidth="1"/>
    <col min="18" max="18" width="60.85546875" style="42" customWidth="1"/>
    <col min="19" max="19" width="11.85546875" style="42" hidden="1" customWidth="1"/>
    <col min="20" max="21" width="14.5703125" style="42" hidden="1" customWidth="1"/>
    <col min="22" max="22" width="11.42578125" style="42"/>
    <col min="23" max="23" width="11.28515625" style="42" customWidth="1"/>
    <col min="24" max="24" width="23.140625" style="42" hidden="1" customWidth="1"/>
    <col min="25" max="26" width="21.85546875" style="42" hidden="1" customWidth="1"/>
    <col min="27" max="29" width="11.42578125" style="42" hidden="1" customWidth="1"/>
    <col min="30" max="16384" width="11.42578125" style="42"/>
  </cols>
  <sheetData>
    <row r="2" spans="2:26" ht="15.75">
      <c r="B2" s="84" t="s">
        <v>247</v>
      </c>
    </row>
    <row r="4" spans="2:26" ht="13.5" thickBot="1"/>
    <row r="5" spans="2:26" ht="71.25" customHeight="1" thickBot="1">
      <c r="B5" s="139" t="s">
        <v>193</v>
      </c>
      <c r="C5" s="107" t="s">
        <v>194</v>
      </c>
      <c r="D5" s="107" t="s">
        <v>248</v>
      </c>
      <c r="E5" s="107" t="s">
        <v>196</v>
      </c>
      <c r="F5" s="148" t="s">
        <v>197</v>
      </c>
      <c r="G5" s="107" t="s">
        <v>249</v>
      </c>
      <c r="H5" s="107" t="s">
        <v>250</v>
      </c>
      <c r="I5" s="107" t="s">
        <v>192</v>
      </c>
      <c r="J5" s="107" t="s">
        <v>251</v>
      </c>
      <c r="K5" s="107" t="s">
        <v>252</v>
      </c>
      <c r="L5" s="107" t="s">
        <v>202</v>
      </c>
      <c r="M5" s="107" t="s">
        <v>203</v>
      </c>
      <c r="N5" s="107" t="s">
        <v>204</v>
      </c>
      <c r="O5" s="107" t="s">
        <v>205</v>
      </c>
      <c r="P5" s="107" t="s">
        <v>206</v>
      </c>
      <c r="Q5" s="107" t="s">
        <v>207</v>
      </c>
      <c r="R5" s="72" t="s">
        <v>82</v>
      </c>
      <c r="S5" s="136" t="s">
        <v>141</v>
      </c>
      <c r="T5" s="128" t="s">
        <v>208</v>
      </c>
      <c r="U5" s="129" t="s">
        <v>85</v>
      </c>
    </row>
    <row r="6" spans="2:26" ht="13.5" thickBot="1">
      <c r="B6" s="151">
        <v>1</v>
      </c>
      <c r="C6" s="295"/>
      <c r="D6" s="295"/>
      <c r="E6" s="180"/>
      <c r="F6" s="180"/>
      <c r="G6" s="296" t="str">
        <f t="shared" ref="G6:G18" si="0">IF(D6="","",VLOOKUP(D6,$X$11:$Y$12,2,0))</f>
        <v/>
      </c>
      <c r="H6" s="180" t="str">
        <f>IF('4 TRÁNSITO VEHÍCULOS PISTAS'!H10="","",'4 TRÁNSITO VEHÍCULOS PISTAS'!H10)</f>
        <v/>
      </c>
      <c r="I6" s="180" t="str">
        <f>IF('4 TRÁNSITO VEHÍCULOS PISTAS'!I10="","",'4 TRÁNSITO VEHÍCULOS PISTAS'!I10)</f>
        <v/>
      </c>
      <c r="J6" s="297" t="str">
        <f t="shared" ref="J6:J18" si="1">IF(C6="","",(C6*E6*I6))</f>
        <v/>
      </c>
      <c r="K6" s="298" t="str">
        <f t="shared" ref="K6:K18" si="2">IF(C6="","",(F6/0.9071847))</f>
        <v/>
      </c>
      <c r="L6" s="298" t="str">
        <f>IF(C6="","",($Y$7*(G6^0.91)*(K6^1.02)/1000))</f>
        <v/>
      </c>
      <c r="M6" s="298" t="str">
        <f>IF(C6="","",($Z$7*(G6^0.91)*(K6^1.02)/1000))</f>
        <v/>
      </c>
      <c r="N6" s="297" t="str">
        <f t="shared" ref="N6:N18" si="3">IF(C6="","",(L6*J6))</f>
        <v/>
      </c>
      <c r="O6" s="299" t="str">
        <f t="shared" ref="O6:O18" si="4">IF(C6="","",(M6*J6))</f>
        <v/>
      </c>
      <c r="P6" s="299" t="str">
        <f t="shared" ref="P6:P18" si="5">IF(C6="","",(N6*(1-(H6/1460))))</f>
        <v/>
      </c>
      <c r="Q6" s="299" t="str">
        <f t="shared" ref="Q6:Q18" si="6">IF(C6="","",(O6*(1-(H6/1460))))</f>
        <v/>
      </c>
      <c r="R6" s="210"/>
      <c r="S6" s="137" t="str">
        <f t="shared" ref="S6:S18" si="7">IF(R6="","",VLOOKUP(R6,$X$15:$Y$19,2,0))</f>
        <v/>
      </c>
      <c r="T6" s="130" t="str">
        <f>IF(R6="","",P6*(1-(S6/100)))</f>
        <v/>
      </c>
      <c r="U6" s="131" t="str">
        <f>IF(R6="","",Q6*(1-(S6/100)))</f>
        <v/>
      </c>
      <c r="X6" s="19" t="s">
        <v>214</v>
      </c>
      <c r="Y6" s="20" t="s">
        <v>94</v>
      </c>
      <c r="Z6" s="21" t="s">
        <v>95</v>
      </c>
    </row>
    <row r="7" spans="2:26" ht="13.5" thickBot="1">
      <c r="B7" s="151">
        <v>2</v>
      </c>
      <c r="C7" s="295"/>
      <c r="D7" s="295"/>
      <c r="E7" s="180"/>
      <c r="F7" s="180"/>
      <c r="G7" s="296" t="str">
        <f t="shared" si="0"/>
        <v/>
      </c>
      <c r="H7" s="180" t="str">
        <f>IF('4 TRÁNSITO VEHÍCULOS PISTAS'!H11="","",'4 TRÁNSITO VEHÍCULOS PISTAS'!H11)</f>
        <v/>
      </c>
      <c r="I7" s="180" t="str">
        <f>IF('4 TRÁNSITO VEHÍCULOS PISTAS'!I11="","",'4 TRÁNSITO VEHÍCULOS PISTAS'!I11)</f>
        <v/>
      </c>
      <c r="J7" s="297" t="str">
        <f t="shared" si="1"/>
        <v/>
      </c>
      <c r="K7" s="298" t="str">
        <f t="shared" si="2"/>
        <v/>
      </c>
      <c r="L7" s="298" t="str">
        <f t="shared" ref="L7:L18" si="8">IF(C7="","",($Y$7*(G7^0.91)*(K7^1.02)/1000))</f>
        <v/>
      </c>
      <c r="M7" s="298" t="str">
        <f t="shared" ref="M7:M18" si="9">IF(C7="","",($Z$7*(G7^0.91)*(K7^1.02)/1000))</f>
        <v/>
      </c>
      <c r="N7" s="297" t="str">
        <f t="shared" si="3"/>
        <v/>
      </c>
      <c r="O7" s="299" t="str">
        <f t="shared" si="4"/>
        <v/>
      </c>
      <c r="P7" s="299" t="str">
        <f t="shared" si="5"/>
        <v/>
      </c>
      <c r="Q7" s="299" t="str">
        <f t="shared" si="6"/>
        <v/>
      </c>
      <c r="R7" s="210"/>
      <c r="S7" s="137" t="str">
        <f t="shared" si="7"/>
        <v/>
      </c>
      <c r="T7" s="130" t="str">
        <f>IF(R7="","",P7*(1-(S7/100)))</f>
        <v/>
      </c>
      <c r="U7" s="131" t="str">
        <f>IF(R7="","",Q7*(1-(S7/100)))</f>
        <v/>
      </c>
      <c r="X7" s="12" t="s">
        <v>215</v>
      </c>
      <c r="Y7" s="13">
        <v>0.62</v>
      </c>
      <c r="Z7" s="14">
        <v>3.23</v>
      </c>
    </row>
    <row r="8" spans="2:26" ht="13.5" thickBot="1">
      <c r="B8" s="151">
        <v>3</v>
      </c>
      <c r="C8" s="295"/>
      <c r="D8" s="295"/>
      <c r="E8" s="180"/>
      <c r="F8" s="180"/>
      <c r="G8" s="296" t="str">
        <f t="shared" si="0"/>
        <v/>
      </c>
      <c r="H8" s="180" t="str">
        <f>IF('4 TRÁNSITO VEHÍCULOS PISTAS'!H12="","",'4 TRÁNSITO VEHÍCULOS PISTAS'!H12)</f>
        <v/>
      </c>
      <c r="I8" s="180" t="str">
        <f>IF('4 TRÁNSITO VEHÍCULOS PISTAS'!I12="","",'4 TRÁNSITO VEHÍCULOS PISTAS'!I12)</f>
        <v/>
      </c>
      <c r="J8" s="297" t="str">
        <f t="shared" si="1"/>
        <v/>
      </c>
      <c r="K8" s="298" t="str">
        <f t="shared" si="2"/>
        <v/>
      </c>
      <c r="L8" s="298" t="str">
        <f t="shared" si="8"/>
        <v/>
      </c>
      <c r="M8" s="298" t="str">
        <f t="shared" si="9"/>
        <v/>
      </c>
      <c r="N8" s="297" t="str">
        <f t="shared" si="3"/>
        <v/>
      </c>
      <c r="O8" s="299" t="str">
        <f t="shared" si="4"/>
        <v/>
      </c>
      <c r="P8" s="299" t="str">
        <f t="shared" si="5"/>
        <v/>
      </c>
      <c r="Q8" s="299" t="str">
        <f t="shared" si="6"/>
        <v/>
      </c>
      <c r="R8" s="210"/>
      <c r="S8" s="137" t="str">
        <f t="shared" si="7"/>
        <v/>
      </c>
      <c r="T8" s="130" t="str">
        <f t="shared" ref="T8:T18" si="10">IF(R8="","",P8*(1-(S8/100)))</f>
        <v/>
      </c>
      <c r="U8" s="131" t="str">
        <f t="shared" ref="U8:U18" si="11">IF(R8="","",Q8*(1-(S8/100)))</f>
        <v/>
      </c>
    </row>
    <row r="9" spans="2:26">
      <c r="B9" s="151">
        <v>5</v>
      </c>
      <c r="C9" s="295"/>
      <c r="D9" s="295"/>
      <c r="E9" s="180"/>
      <c r="F9" s="180"/>
      <c r="G9" s="296" t="str">
        <f t="shared" si="0"/>
        <v/>
      </c>
      <c r="H9" s="180" t="str">
        <f>IF('4 TRÁNSITO VEHÍCULOS PISTAS'!H13="","",'4 TRÁNSITO VEHÍCULOS PISTAS'!H13)</f>
        <v/>
      </c>
      <c r="I9" s="180" t="str">
        <f>IF('4 TRÁNSITO VEHÍCULOS PISTAS'!I13="","",'4 TRÁNSITO VEHÍCULOS PISTAS'!I13)</f>
        <v/>
      </c>
      <c r="J9" s="297" t="str">
        <f t="shared" si="1"/>
        <v/>
      </c>
      <c r="K9" s="298" t="str">
        <f t="shared" si="2"/>
        <v/>
      </c>
      <c r="L9" s="298" t="str">
        <f t="shared" si="8"/>
        <v/>
      </c>
      <c r="M9" s="298" t="str">
        <f t="shared" si="9"/>
        <v/>
      </c>
      <c r="N9" s="297" t="str">
        <f t="shared" si="3"/>
        <v/>
      </c>
      <c r="O9" s="299" t="str">
        <f t="shared" si="4"/>
        <v/>
      </c>
      <c r="P9" s="299" t="str">
        <f t="shared" si="5"/>
        <v/>
      </c>
      <c r="Q9" s="299" t="str">
        <f t="shared" si="6"/>
        <v/>
      </c>
      <c r="R9" s="210"/>
      <c r="S9" s="137" t="str">
        <f t="shared" si="7"/>
        <v/>
      </c>
      <c r="T9" s="130" t="str">
        <f t="shared" si="10"/>
        <v/>
      </c>
      <c r="U9" s="131" t="str">
        <f t="shared" si="11"/>
        <v/>
      </c>
      <c r="X9" s="269" t="s">
        <v>122</v>
      </c>
      <c r="Y9" s="267" t="s">
        <v>253</v>
      </c>
      <c r="Z9" s="268"/>
    </row>
    <row r="10" spans="2:26" ht="13.5" thickBot="1">
      <c r="B10" s="151">
        <v>6</v>
      </c>
      <c r="C10" s="295"/>
      <c r="D10" s="295"/>
      <c r="E10" s="180"/>
      <c r="F10" s="180"/>
      <c r="G10" s="296" t="str">
        <f t="shared" si="0"/>
        <v/>
      </c>
      <c r="H10" s="180" t="str">
        <f>IF('4 TRÁNSITO VEHÍCULOS PISTAS'!H14="","",'4 TRÁNSITO VEHÍCULOS PISTAS'!H14)</f>
        <v/>
      </c>
      <c r="I10" s="180" t="str">
        <f>IF('4 TRÁNSITO VEHÍCULOS PISTAS'!I14="","",'4 TRÁNSITO VEHÍCULOS PISTAS'!I14)</f>
        <v/>
      </c>
      <c r="J10" s="297" t="str">
        <f t="shared" si="1"/>
        <v/>
      </c>
      <c r="K10" s="298" t="str">
        <f t="shared" si="2"/>
        <v/>
      </c>
      <c r="L10" s="298" t="str">
        <f t="shared" si="8"/>
        <v/>
      </c>
      <c r="M10" s="298" t="str">
        <f t="shared" si="9"/>
        <v/>
      </c>
      <c r="N10" s="297" t="str">
        <f t="shared" si="3"/>
        <v/>
      </c>
      <c r="O10" s="299" t="str">
        <f t="shared" si="4"/>
        <v/>
      </c>
      <c r="P10" s="299" t="str">
        <f t="shared" si="5"/>
        <v/>
      </c>
      <c r="Q10" s="299" t="str">
        <f t="shared" si="6"/>
        <v/>
      </c>
      <c r="R10" s="210"/>
      <c r="S10" s="137" t="str">
        <f t="shared" si="7"/>
        <v/>
      </c>
      <c r="T10" s="130" t="str">
        <f t="shared" si="10"/>
        <v/>
      </c>
      <c r="U10" s="131" t="str">
        <f t="shared" si="11"/>
        <v/>
      </c>
      <c r="X10" s="270"/>
      <c r="Y10" s="300" t="s">
        <v>219</v>
      </c>
      <c r="Z10" s="300" t="s">
        <v>220</v>
      </c>
    </row>
    <row r="11" spans="2:26">
      <c r="B11" s="151">
        <v>7</v>
      </c>
      <c r="C11" s="295"/>
      <c r="D11" s="295"/>
      <c r="E11" s="180"/>
      <c r="F11" s="180"/>
      <c r="G11" s="296" t="str">
        <f t="shared" si="0"/>
        <v/>
      </c>
      <c r="H11" s="180" t="str">
        <f>IF('4 TRÁNSITO VEHÍCULOS PISTAS'!H15="","",'4 TRÁNSITO VEHÍCULOS PISTAS'!H15)</f>
        <v/>
      </c>
      <c r="I11" s="180" t="str">
        <f>IF('4 TRÁNSITO VEHÍCULOS PISTAS'!I15="","",'4 TRÁNSITO VEHÍCULOS PISTAS'!I15)</f>
        <v/>
      </c>
      <c r="J11" s="297" t="str">
        <f t="shared" si="1"/>
        <v/>
      </c>
      <c r="K11" s="298" t="str">
        <f t="shared" si="2"/>
        <v/>
      </c>
      <c r="L11" s="298" t="str">
        <f t="shared" si="8"/>
        <v/>
      </c>
      <c r="M11" s="298" t="str">
        <f t="shared" si="9"/>
        <v/>
      </c>
      <c r="N11" s="297" t="str">
        <f t="shared" si="3"/>
        <v/>
      </c>
      <c r="O11" s="299" t="str">
        <f t="shared" si="4"/>
        <v/>
      </c>
      <c r="P11" s="299" t="str">
        <f t="shared" si="5"/>
        <v/>
      </c>
      <c r="Q11" s="299" t="str">
        <f t="shared" si="6"/>
        <v/>
      </c>
      <c r="R11" s="210"/>
      <c r="S11" s="137" t="str">
        <f t="shared" si="7"/>
        <v/>
      </c>
      <c r="T11" s="130" t="str">
        <f t="shared" si="10"/>
        <v/>
      </c>
      <c r="U11" s="131" t="str">
        <f t="shared" si="11"/>
        <v/>
      </c>
      <c r="X11" s="301" t="s">
        <v>226</v>
      </c>
      <c r="Y11" s="114">
        <v>70</v>
      </c>
      <c r="Z11" s="302" t="s">
        <v>254</v>
      </c>
    </row>
    <row r="12" spans="2:26" ht="13.5" thickBot="1">
      <c r="B12" s="151">
        <v>8</v>
      </c>
      <c r="C12" s="295"/>
      <c r="D12" s="295"/>
      <c r="E12" s="180"/>
      <c r="F12" s="180"/>
      <c r="G12" s="296" t="str">
        <f t="shared" si="0"/>
        <v/>
      </c>
      <c r="H12" s="180" t="str">
        <f>IF('4 TRÁNSITO VEHÍCULOS PISTAS'!H16="","",'4 TRÁNSITO VEHÍCULOS PISTAS'!H16)</f>
        <v/>
      </c>
      <c r="I12" s="180" t="str">
        <f>IF('4 TRÁNSITO VEHÍCULOS PISTAS'!I16="","",'4 TRÁNSITO VEHÍCULOS PISTAS'!I16)</f>
        <v/>
      </c>
      <c r="J12" s="297" t="str">
        <f t="shared" si="1"/>
        <v/>
      </c>
      <c r="K12" s="298" t="str">
        <f t="shared" si="2"/>
        <v/>
      </c>
      <c r="L12" s="298" t="str">
        <f t="shared" si="8"/>
        <v/>
      </c>
      <c r="M12" s="298" t="str">
        <f t="shared" si="9"/>
        <v/>
      </c>
      <c r="N12" s="297" t="str">
        <f t="shared" si="3"/>
        <v/>
      </c>
      <c r="O12" s="299" t="str">
        <f t="shared" si="4"/>
        <v/>
      </c>
      <c r="P12" s="299" t="str">
        <f t="shared" si="5"/>
        <v/>
      </c>
      <c r="Q12" s="299" t="str">
        <f t="shared" si="6"/>
        <v/>
      </c>
      <c r="R12" s="210"/>
      <c r="S12" s="137" t="str">
        <f t="shared" si="7"/>
        <v/>
      </c>
      <c r="T12" s="130" t="str">
        <f t="shared" si="10"/>
        <v/>
      </c>
      <c r="U12" s="131" t="str">
        <f t="shared" si="11"/>
        <v/>
      </c>
      <c r="X12" s="303" t="s">
        <v>221</v>
      </c>
      <c r="Y12" s="115">
        <v>8.1999999999999993</v>
      </c>
      <c r="Z12" s="304" t="s">
        <v>255</v>
      </c>
    </row>
    <row r="13" spans="2:26">
      <c r="B13" s="151">
        <v>9</v>
      </c>
      <c r="C13" s="295"/>
      <c r="D13" s="295"/>
      <c r="E13" s="180"/>
      <c r="F13" s="180"/>
      <c r="G13" s="296" t="str">
        <f t="shared" si="0"/>
        <v/>
      </c>
      <c r="H13" s="180" t="str">
        <f>IF('4 TRÁNSITO VEHÍCULOS PISTAS'!H17="","",'4 TRÁNSITO VEHÍCULOS PISTAS'!H17)</f>
        <v/>
      </c>
      <c r="I13" s="180" t="str">
        <f>IF('4 TRÁNSITO VEHÍCULOS PISTAS'!I17="","",'4 TRÁNSITO VEHÍCULOS PISTAS'!I17)</f>
        <v/>
      </c>
      <c r="J13" s="297" t="str">
        <f t="shared" si="1"/>
        <v/>
      </c>
      <c r="K13" s="298" t="str">
        <f t="shared" si="2"/>
        <v/>
      </c>
      <c r="L13" s="298" t="str">
        <f t="shared" si="8"/>
        <v/>
      </c>
      <c r="M13" s="298" t="str">
        <f t="shared" si="9"/>
        <v/>
      </c>
      <c r="N13" s="297" t="str">
        <f t="shared" si="3"/>
        <v/>
      </c>
      <c r="O13" s="299" t="str">
        <f t="shared" si="4"/>
        <v/>
      </c>
      <c r="P13" s="299" t="str">
        <f t="shared" si="5"/>
        <v/>
      </c>
      <c r="Q13" s="299" t="str">
        <f t="shared" si="6"/>
        <v/>
      </c>
      <c r="R13" s="210"/>
      <c r="S13" s="137" t="str">
        <f t="shared" si="7"/>
        <v/>
      </c>
      <c r="T13" s="130" t="str">
        <f t="shared" si="10"/>
        <v/>
      </c>
      <c r="U13" s="131" t="str">
        <f t="shared" si="11"/>
        <v/>
      </c>
    </row>
    <row r="14" spans="2:26" ht="13.5" thickBot="1">
      <c r="B14" s="151">
        <v>10</v>
      </c>
      <c r="C14" s="295"/>
      <c r="D14" s="295"/>
      <c r="E14" s="180"/>
      <c r="F14" s="180"/>
      <c r="G14" s="296" t="str">
        <f t="shared" si="0"/>
        <v/>
      </c>
      <c r="H14" s="180" t="str">
        <f>IF('4 TRÁNSITO VEHÍCULOS PISTAS'!H18="","",'4 TRÁNSITO VEHÍCULOS PISTAS'!H18)</f>
        <v/>
      </c>
      <c r="I14" s="180" t="str">
        <f>IF('4 TRÁNSITO VEHÍCULOS PISTAS'!I18="","",'4 TRÁNSITO VEHÍCULOS PISTAS'!I18)</f>
        <v/>
      </c>
      <c r="J14" s="297" t="str">
        <f t="shared" si="1"/>
        <v/>
      </c>
      <c r="K14" s="298" t="str">
        <f t="shared" si="2"/>
        <v/>
      </c>
      <c r="L14" s="298" t="str">
        <f t="shared" si="8"/>
        <v/>
      </c>
      <c r="M14" s="298" t="str">
        <f t="shared" si="9"/>
        <v/>
      </c>
      <c r="N14" s="297" t="str">
        <f t="shared" si="3"/>
        <v/>
      </c>
      <c r="O14" s="299" t="str">
        <f t="shared" si="4"/>
        <v/>
      </c>
      <c r="P14" s="299" t="str">
        <f t="shared" si="5"/>
        <v/>
      </c>
      <c r="Q14" s="299" t="str">
        <f t="shared" si="6"/>
        <v/>
      </c>
      <c r="R14" s="210"/>
      <c r="S14" s="137" t="str">
        <f t="shared" si="7"/>
        <v/>
      </c>
      <c r="T14" s="130" t="str">
        <f t="shared" si="10"/>
        <v/>
      </c>
      <c r="U14" s="131" t="str">
        <f t="shared" si="11"/>
        <v/>
      </c>
      <c r="X14" s="5" t="s">
        <v>231</v>
      </c>
      <c r="Y14" s="6" t="s">
        <v>232</v>
      </c>
    </row>
    <row r="15" spans="2:26">
      <c r="B15" s="151">
        <v>11</v>
      </c>
      <c r="C15" s="295"/>
      <c r="D15" s="295"/>
      <c r="E15" s="180"/>
      <c r="F15" s="180"/>
      <c r="G15" s="296" t="str">
        <f t="shared" si="0"/>
        <v/>
      </c>
      <c r="H15" s="180" t="str">
        <f>IF('4 TRÁNSITO VEHÍCULOS PISTAS'!H19="","",'4 TRÁNSITO VEHÍCULOS PISTAS'!H19)</f>
        <v/>
      </c>
      <c r="I15" s="180" t="str">
        <f>IF('4 TRÁNSITO VEHÍCULOS PISTAS'!I19="","",'4 TRÁNSITO VEHÍCULOS PISTAS'!I19)</f>
        <v/>
      </c>
      <c r="J15" s="297" t="str">
        <f t="shared" si="1"/>
        <v/>
      </c>
      <c r="K15" s="298" t="str">
        <f t="shared" si="2"/>
        <v/>
      </c>
      <c r="L15" s="298" t="str">
        <f t="shared" si="8"/>
        <v/>
      </c>
      <c r="M15" s="298" t="str">
        <f t="shared" si="9"/>
        <v/>
      </c>
      <c r="N15" s="297" t="str">
        <f t="shared" si="3"/>
        <v/>
      </c>
      <c r="O15" s="299" t="str">
        <f t="shared" si="4"/>
        <v/>
      </c>
      <c r="P15" s="299" t="str">
        <f t="shared" si="5"/>
        <v/>
      </c>
      <c r="Q15" s="299" t="str">
        <f t="shared" si="6"/>
        <v/>
      </c>
      <c r="R15" s="210"/>
      <c r="S15" s="137" t="str">
        <f t="shared" si="7"/>
        <v/>
      </c>
      <c r="T15" s="130" t="str">
        <f t="shared" si="10"/>
        <v/>
      </c>
      <c r="U15" s="131" t="str">
        <f t="shared" si="11"/>
        <v/>
      </c>
      <c r="X15" s="3" t="s">
        <v>256</v>
      </c>
      <c r="Y15" s="23">
        <v>70</v>
      </c>
    </row>
    <row r="16" spans="2:26">
      <c r="B16" s="151">
        <v>12</v>
      </c>
      <c r="C16" s="295"/>
      <c r="D16" s="295"/>
      <c r="E16" s="180"/>
      <c r="F16" s="180"/>
      <c r="G16" s="296" t="str">
        <f t="shared" si="0"/>
        <v/>
      </c>
      <c r="H16" s="180" t="str">
        <f>IF('4 TRÁNSITO VEHÍCULOS PISTAS'!H20="","",'4 TRÁNSITO VEHÍCULOS PISTAS'!H20)</f>
        <v/>
      </c>
      <c r="I16" s="180" t="str">
        <f>IF('4 TRÁNSITO VEHÍCULOS PISTAS'!I20="","",'4 TRÁNSITO VEHÍCULOS PISTAS'!I20)</f>
        <v/>
      </c>
      <c r="J16" s="297" t="str">
        <f t="shared" si="1"/>
        <v/>
      </c>
      <c r="K16" s="298" t="str">
        <f t="shared" si="2"/>
        <v/>
      </c>
      <c r="L16" s="298" t="str">
        <f t="shared" si="8"/>
        <v/>
      </c>
      <c r="M16" s="298" t="str">
        <f t="shared" si="9"/>
        <v/>
      </c>
      <c r="N16" s="297" t="str">
        <f t="shared" si="3"/>
        <v/>
      </c>
      <c r="O16" s="299" t="str">
        <f t="shared" si="4"/>
        <v/>
      </c>
      <c r="P16" s="299" t="str">
        <f t="shared" si="5"/>
        <v/>
      </c>
      <c r="Q16" s="299" t="str">
        <f t="shared" si="6"/>
        <v/>
      </c>
      <c r="R16" s="210"/>
      <c r="S16" s="137" t="str">
        <f t="shared" si="7"/>
        <v/>
      </c>
      <c r="T16" s="130" t="str">
        <f t="shared" si="10"/>
        <v/>
      </c>
      <c r="U16" s="131" t="str">
        <f t="shared" si="11"/>
        <v/>
      </c>
      <c r="X16" s="4" t="s">
        <v>257</v>
      </c>
      <c r="Y16" s="22">
        <v>80</v>
      </c>
    </row>
    <row r="17" spans="2:25">
      <c r="B17" s="151">
        <v>13</v>
      </c>
      <c r="C17" s="295"/>
      <c r="D17" s="295"/>
      <c r="E17" s="180"/>
      <c r="F17" s="180"/>
      <c r="G17" s="296" t="str">
        <f t="shared" si="0"/>
        <v/>
      </c>
      <c r="H17" s="180" t="str">
        <f>IF('4 TRÁNSITO VEHÍCULOS PISTAS'!H21="","",'4 TRÁNSITO VEHÍCULOS PISTAS'!H21)</f>
        <v/>
      </c>
      <c r="I17" s="180" t="str">
        <f>IF('4 TRÁNSITO VEHÍCULOS PISTAS'!I21="","",'4 TRÁNSITO VEHÍCULOS PISTAS'!I21)</f>
        <v/>
      </c>
      <c r="J17" s="297" t="str">
        <f t="shared" si="1"/>
        <v/>
      </c>
      <c r="K17" s="298" t="str">
        <f t="shared" si="2"/>
        <v/>
      </c>
      <c r="L17" s="298" t="str">
        <f t="shared" si="8"/>
        <v/>
      </c>
      <c r="M17" s="298" t="str">
        <f t="shared" si="9"/>
        <v/>
      </c>
      <c r="N17" s="297" t="str">
        <f t="shared" si="3"/>
        <v/>
      </c>
      <c r="O17" s="299" t="str">
        <f t="shared" si="4"/>
        <v/>
      </c>
      <c r="P17" s="299" t="str">
        <f t="shared" si="5"/>
        <v/>
      </c>
      <c r="Q17" s="299" t="str">
        <f t="shared" si="6"/>
        <v/>
      </c>
      <c r="R17" s="210"/>
      <c r="S17" s="137" t="str">
        <f t="shared" si="7"/>
        <v/>
      </c>
      <c r="T17" s="130" t="str">
        <f t="shared" si="10"/>
        <v/>
      </c>
      <c r="U17" s="131" t="str">
        <f t="shared" si="11"/>
        <v/>
      </c>
      <c r="X17" s="4" t="s">
        <v>258</v>
      </c>
      <c r="Y17" s="22">
        <v>94</v>
      </c>
    </row>
    <row r="18" spans="2:25" ht="13.5" thickBot="1">
      <c r="B18" s="152">
        <v>14</v>
      </c>
      <c r="C18" s="211"/>
      <c r="D18" s="211"/>
      <c r="E18" s="184"/>
      <c r="F18" s="184"/>
      <c r="G18" s="212" t="str">
        <f t="shared" si="0"/>
        <v/>
      </c>
      <c r="H18" s="184" t="str">
        <f>IF('4 TRÁNSITO VEHÍCULOS PISTAS'!H22="","",'4 TRÁNSITO VEHÍCULOS PISTAS'!H22)</f>
        <v/>
      </c>
      <c r="I18" s="184" t="str">
        <f>IF('4 TRÁNSITO VEHÍCULOS PISTAS'!I22="","",'4 TRÁNSITO VEHÍCULOS PISTAS'!I22)</f>
        <v/>
      </c>
      <c r="J18" s="213" t="str">
        <f t="shared" si="1"/>
        <v/>
      </c>
      <c r="K18" s="214" t="str">
        <f t="shared" si="2"/>
        <v/>
      </c>
      <c r="L18" s="298" t="str">
        <f t="shared" si="8"/>
        <v/>
      </c>
      <c r="M18" s="298" t="str">
        <f t="shared" si="9"/>
        <v/>
      </c>
      <c r="N18" s="213" t="str">
        <f t="shared" si="3"/>
        <v/>
      </c>
      <c r="O18" s="215" t="str">
        <f t="shared" si="4"/>
        <v/>
      </c>
      <c r="P18" s="215" t="str">
        <f t="shared" si="5"/>
        <v/>
      </c>
      <c r="Q18" s="215" t="str">
        <f t="shared" si="6"/>
        <v/>
      </c>
      <c r="R18" s="216"/>
      <c r="S18" s="138" t="str">
        <f t="shared" si="7"/>
        <v/>
      </c>
      <c r="T18" s="132" t="str">
        <f t="shared" si="10"/>
        <v/>
      </c>
      <c r="U18" s="133" t="str">
        <f t="shared" si="11"/>
        <v/>
      </c>
      <c r="X18" s="16" t="s">
        <v>237</v>
      </c>
      <c r="Y18" s="24"/>
    </row>
    <row r="19" spans="2:25">
      <c r="X19" s="7" t="s">
        <v>239</v>
      </c>
      <c r="Y19" s="11">
        <v>0</v>
      </c>
    </row>
    <row r="25" spans="2:25" ht="13.5" thickBot="1"/>
    <row r="26" spans="2:25" ht="15.75">
      <c r="C26" s="62" t="s">
        <v>50</v>
      </c>
      <c r="D26" s="63" t="s">
        <v>238</v>
      </c>
      <c r="E26" s="64" t="s">
        <v>52</v>
      </c>
    </row>
    <row r="27" spans="2:25" ht="15.75" thickBot="1">
      <c r="C27" s="59" t="s">
        <v>53</v>
      </c>
      <c r="D27" s="60">
        <f>SUM(T6:T18)</f>
        <v>0</v>
      </c>
      <c r="E27" s="61">
        <f>SUM(U6:U18)</f>
        <v>0</v>
      </c>
    </row>
  </sheetData>
  <sheetProtection algorithmName="SHA-512" hashValue="JgWYzn+OkARDVFR/gEL8Tkqva6DpxmQWquDNRbW81i+h0xB+NXeMIX243DS72glgjX+PeR7fbzRfFiHJocPMYw==" saltValue="+ZMfFEPDzTvIWWK1Zj8Dfw==" spinCount="100000" sheet="1"/>
  <mergeCells count="2">
    <mergeCell ref="Y9:Z9"/>
    <mergeCell ref="X9:X10"/>
  </mergeCells>
  <dataValidations count="2">
    <dataValidation type="list" allowBlank="1" showInputMessage="1" showErrorMessage="1" sqref="D6:D18" xr:uid="{58205B43-2772-40E6-A123-90E628A89FE8}">
      <formula1>$X$11:$X$12</formula1>
    </dataValidation>
    <dataValidation type="list" allowBlank="1" showInputMessage="1" showErrorMessage="1" promptTitle="Medidas correctoras" prompt="Seleccione una medida correctora de la lista" sqref="R6:R18" xr:uid="{2C2F07BB-A539-4F36-A242-FD595864A69C}">
      <formula1>$X$15:$X$19</formula1>
    </dataValidation>
  </dataValidations>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A2153-E294-4B6F-9A58-44D809142AD1}">
  <dimension ref="B1:E23"/>
  <sheetViews>
    <sheetView zoomScale="46" zoomScaleNormal="46" workbookViewId="0">
      <selection sqref="A1:XFD1048576"/>
    </sheetView>
  </sheetViews>
  <sheetFormatPr defaultColWidth="11.42578125" defaultRowHeight="12.75"/>
  <cols>
    <col min="1" max="2" width="4.140625" style="42" customWidth="1"/>
    <col min="3" max="3" width="84" style="42" customWidth="1"/>
    <col min="4" max="5" width="21.85546875" style="42" customWidth="1"/>
    <col min="6" max="16384" width="11.42578125" style="42"/>
  </cols>
  <sheetData>
    <row r="1" spans="2:5">
      <c r="C1" s="40"/>
      <c r="D1" s="41"/>
    </row>
    <row r="3" spans="2:5" ht="13.5" thickBot="1"/>
    <row r="4" spans="2:5" ht="19.5" thickBot="1">
      <c r="C4" s="62" t="s">
        <v>50</v>
      </c>
      <c r="D4" s="63" t="s">
        <v>51</v>
      </c>
      <c r="E4" s="64" t="s">
        <v>52</v>
      </c>
    </row>
    <row r="5" spans="2:5" ht="15">
      <c r="B5" s="118">
        <v>1</v>
      </c>
      <c r="C5" s="117" t="s">
        <v>259</v>
      </c>
      <c r="D5" s="73">
        <f>'1 EXTRACCIÓN DE MATERIALES'!C17</f>
        <v>0</v>
      </c>
      <c r="E5" s="74">
        <f>'1 EXTRACCIÓN DE MATERIALES'!D17</f>
        <v>0</v>
      </c>
    </row>
    <row r="6" spans="2:5" ht="15">
      <c r="B6" s="116">
        <v>2</v>
      </c>
      <c r="C6" s="117" t="s">
        <v>260</v>
      </c>
      <c r="D6" s="73">
        <f>'2 TRATAMIENTO DEL MATERIAL'!C40</f>
        <v>0</v>
      </c>
      <c r="E6" s="74">
        <f>'2 TRATAMIENTO DEL MATERIAL'!D40</f>
        <v>0</v>
      </c>
    </row>
    <row r="7" spans="2:5" ht="15">
      <c r="B7" s="116">
        <v>3</v>
      </c>
      <c r="C7" s="117" t="s">
        <v>72</v>
      </c>
      <c r="D7" s="73">
        <f>'3 EMISIONES MATERIAL APILADO'!D19</f>
        <v>0</v>
      </c>
      <c r="E7" s="74">
        <f>'3 EMISIONES MATERIAL APILADO'!E19</f>
        <v>0</v>
      </c>
    </row>
    <row r="8" spans="2:5" ht="15">
      <c r="B8" s="116">
        <v>4</v>
      </c>
      <c r="C8" s="117" t="s">
        <v>190</v>
      </c>
      <c r="D8" s="73">
        <f>'4 TRÁNSITO VEHÍCULOS PISTAS'!D31</f>
        <v>0</v>
      </c>
      <c r="E8" s="74">
        <f>'4 TRÁNSITO VEHÍCULOS PISTAS'!E31</f>
        <v>0</v>
      </c>
    </row>
    <row r="9" spans="2:5" ht="15.75" thickBot="1">
      <c r="B9" s="119">
        <v>5</v>
      </c>
      <c r="C9" s="117" t="s">
        <v>247</v>
      </c>
      <c r="D9" s="73">
        <f>'5 TRÁNSITO VEHÍCULOS PAVIMENTO'!D27</f>
        <v>0</v>
      </c>
      <c r="E9" s="74">
        <f>'5 TRÁNSITO VEHÍCULOS PAVIMENTO'!E27</f>
        <v>0</v>
      </c>
    </row>
    <row r="10" spans="2:5" ht="16.5" thickBot="1">
      <c r="C10" s="120" t="s">
        <v>261</v>
      </c>
      <c r="D10" s="121">
        <f>SUM(D5:D9)</f>
        <v>0</v>
      </c>
      <c r="E10" s="122">
        <f>SUM(E5:E9)</f>
        <v>0</v>
      </c>
    </row>
    <row r="16" spans="2:5" ht="13.5" thickBot="1"/>
    <row r="17" spans="3:5" ht="15">
      <c r="C17" s="153" t="s">
        <v>262</v>
      </c>
      <c r="D17" s="154"/>
      <c r="E17" s="155"/>
    </row>
    <row r="18" spans="3:5" ht="15">
      <c r="C18" s="156" t="s">
        <v>263</v>
      </c>
      <c r="D18" s="157"/>
      <c r="E18" s="158"/>
    </row>
    <row r="19" spans="3:5" ht="18">
      <c r="C19" s="156" t="s">
        <v>264</v>
      </c>
      <c r="D19" s="157"/>
      <c r="E19" s="158"/>
    </row>
    <row r="20" spans="3:5" ht="18">
      <c r="C20" s="156" t="s">
        <v>265</v>
      </c>
      <c r="D20" s="157"/>
      <c r="E20" s="158"/>
    </row>
    <row r="21" spans="3:5" ht="18">
      <c r="C21" s="156" t="s">
        <v>266</v>
      </c>
      <c r="D21" s="157"/>
      <c r="E21" s="158"/>
    </row>
    <row r="22" spans="3:5" ht="18">
      <c r="C22" s="156" t="s">
        <v>267</v>
      </c>
      <c r="D22" s="157"/>
      <c r="E22" s="158"/>
    </row>
    <row r="23" spans="3:5" ht="18.75" thickBot="1">
      <c r="C23" s="159" t="s">
        <v>268</v>
      </c>
      <c r="D23" s="160"/>
      <c r="E23" s="161"/>
    </row>
  </sheetData>
  <sheetProtection algorithmName="SHA-512" hashValue="vnvTFU4lgi/Bpevfo1ZqoG+NLnElYQIRhP0DaidMMo2VUtgH0DsJ6v9PYwB0vuIK+cjLckkaLt/W2GjhGBCyXg==" saltValue="WdfIPCVxzofyuiX+pc/W7Q==" spinCount="100000" sheet="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Comunidad de Madrid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
  <cp:revision/>
  <dcterms:created xsi:type="dcterms:W3CDTF">2014-04-03T07:50:38Z</dcterms:created>
  <dcterms:modified xsi:type="dcterms:W3CDTF">2024-03-28T14:00:44Z</dcterms:modified>
  <cp:category/>
  <cp:contentStatus/>
</cp:coreProperties>
</file>